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Гера\2024\"/>
    </mc:Choice>
  </mc:AlternateContent>
  <xr:revisionPtr revIDLastSave="0" documentId="13_ncr:1_{0AA971FD-6628-4F7F-9A73-7ED426B68F8A}" xr6:coauthVersionLast="47" xr6:coauthVersionMax="47" xr10:uidLastSave="{00000000-0000-0000-0000-000000000000}"/>
  <bookViews>
    <workbookView xWindow="-120" yWindow="-120" windowWidth="20730" windowHeight="11310" tabRatio="891" firstSheet="1" activeTab="4" xr2:uid="{00000000-000D-0000-FFFF-FFFF00000000}"/>
  </bookViews>
  <sheets>
    <sheet name="Место-баллы" sheetId="1" r:id="rId1"/>
    <sheet name="Ж" sheetId="85" r:id="rId2"/>
    <sheet name="М" sheetId="86" r:id="rId3"/>
    <sheet name="35-44 ММ" sheetId="80" r:id="rId4"/>
    <sheet name="45+ ММ" sheetId="78" r:id="rId5"/>
    <sheet name="Любители МЖ" sheetId="87" r:id="rId6"/>
    <sheet name="Любители ММ" sheetId="88" r:id="rId7"/>
    <sheet name="Новички МЖ" sheetId="89" r:id="rId8"/>
    <sheet name="Новички ММ" sheetId="90" r:id="rId9"/>
    <sheet name="МММЖ" sheetId="91" r:id="rId10"/>
  </sheets>
  <definedNames>
    <definedName name="_xlnm._FilterDatabase" localSheetId="3" hidden="1">'35-44 ММ'!$B$7:$AM$7</definedName>
    <definedName name="_xlnm._FilterDatabase" localSheetId="4" hidden="1">'45+ ММ'!$B$7:$AM$7</definedName>
    <definedName name="_xlnm._FilterDatabase" localSheetId="1" hidden="1">Ж!$B$7:$AN$7</definedName>
    <definedName name="_xlnm._FilterDatabase" localSheetId="5" hidden="1">'Любители МЖ'!$B$7:$AV$7</definedName>
    <definedName name="_xlnm._FilterDatabase" localSheetId="6" hidden="1">'Любители ММ'!$B$7:$AV$7</definedName>
    <definedName name="_xlnm._FilterDatabase" localSheetId="2" hidden="1">М!$B$7:$AN$7</definedName>
    <definedName name="_xlnm._FilterDatabase" localSheetId="9" hidden="1">МММЖ!$B$7:$AI$7</definedName>
    <definedName name="_xlnm._FilterDatabase" localSheetId="7" hidden="1">'Новички МЖ'!$B$7:$AH$7</definedName>
    <definedName name="_xlnm._FilterDatabase" localSheetId="8" hidden="1">'Новички ММ'!$B$7:$AH$7</definedName>
  </definedNames>
  <calcPr calcId="181029"/>
</workbook>
</file>

<file path=xl/calcChain.xml><?xml version="1.0" encoding="utf-8"?>
<calcChain xmlns="http://schemas.openxmlformats.org/spreadsheetml/2006/main">
  <c r="AE11" i="91" l="1"/>
  <c r="AE13" i="91"/>
  <c r="AE12" i="91"/>
  <c r="AH9" i="78"/>
  <c r="AH8" i="78"/>
  <c r="V13" i="91"/>
  <c r="V11" i="91"/>
  <c r="V10" i="91"/>
  <c r="V12" i="91"/>
  <c r="V8" i="91"/>
  <c r="Y9" i="78"/>
  <c r="Y8" i="78"/>
  <c r="M9" i="91"/>
  <c r="M8" i="91"/>
  <c r="S11" i="80"/>
  <c r="M11" i="80"/>
  <c r="S9" i="80"/>
  <c r="M9" i="80"/>
  <c r="S12" i="80"/>
  <c r="M12" i="80"/>
  <c r="S10" i="80"/>
  <c r="S9" i="78"/>
  <c r="S8" i="78"/>
  <c r="L9" i="78"/>
  <c r="AR12" i="88" l="1"/>
  <c r="AI12" i="88"/>
  <c r="AI15" i="88"/>
  <c r="AR10" i="88"/>
  <c r="AR8" i="88"/>
  <c r="AI8" i="88"/>
  <c r="AI14" i="88"/>
  <c r="AI8" i="87"/>
  <c r="AI9" i="87"/>
  <c r="AR13" i="87"/>
  <c r="AR10" i="87"/>
  <c r="AI10" i="87"/>
  <c r="AI15" i="87"/>
  <c r="AR11" i="87"/>
  <c r="AI11" i="87"/>
  <c r="AR14" i="87"/>
  <c r="AI14" i="87"/>
  <c r="AR12" i="87"/>
  <c r="AI12" i="87"/>
  <c r="AF14" i="90"/>
  <c r="AB14" i="90"/>
  <c r="AF8" i="90"/>
  <c r="AB8" i="90"/>
  <c r="AF13" i="90"/>
  <c r="AB13" i="90"/>
  <c r="AF12" i="90"/>
  <c r="AB12" i="90"/>
  <c r="AF10" i="90"/>
  <c r="AB10" i="90"/>
  <c r="AF11" i="90"/>
  <c r="AB11" i="90"/>
  <c r="AF15" i="90"/>
  <c r="AB15" i="90"/>
  <c r="AF9" i="90"/>
  <c r="AB9" i="90"/>
  <c r="AF11" i="89"/>
  <c r="AB11" i="89"/>
  <c r="AF14" i="89"/>
  <c r="AB14" i="89"/>
  <c r="AF15" i="89"/>
  <c r="AB15" i="89"/>
  <c r="AF12" i="89"/>
  <c r="AB12" i="89"/>
  <c r="AF13" i="89"/>
  <c r="AB13" i="89"/>
  <c r="AF9" i="89"/>
  <c r="AB9" i="89"/>
  <c r="AF10" i="89"/>
  <c r="AB10" i="89"/>
  <c r="AF8" i="89"/>
  <c r="AB8" i="89"/>
  <c r="AA11" i="86"/>
  <c r="AA13" i="86"/>
  <c r="AA19" i="86"/>
  <c r="AA10" i="85"/>
  <c r="Z20" i="88"/>
  <c r="V17" i="90"/>
  <c r="V18" i="90"/>
  <c r="V24" i="89"/>
  <c r="V23" i="89"/>
  <c r="V26" i="89"/>
  <c r="V22" i="89"/>
  <c r="V17" i="89"/>
  <c r="V8" i="89"/>
  <c r="V21" i="89"/>
  <c r="V18" i="89"/>
  <c r="V27" i="89"/>
  <c r="V20" i="89"/>
  <c r="V19" i="89"/>
  <c r="V25" i="89"/>
  <c r="U12" i="86"/>
  <c r="U20" i="86"/>
  <c r="U19" i="86"/>
  <c r="U14" i="86"/>
  <c r="U22" i="86"/>
  <c r="U23" i="86"/>
  <c r="U21" i="86"/>
  <c r="U8" i="86"/>
  <c r="U17" i="86"/>
  <c r="U18" i="86"/>
  <c r="U11" i="86"/>
  <c r="U9" i="86"/>
  <c r="U10" i="86"/>
  <c r="U15" i="86"/>
  <c r="U13" i="86"/>
  <c r="U16" i="86"/>
  <c r="U11" i="85"/>
  <c r="U8" i="85"/>
  <c r="U10" i="85"/>
  <c r="U9" i="85"/>
  <c r="U12" i="85"/>
  <c r="S18" i="88"/>
  <c r="S21" i="88"/>
  <c r="S19" i="88"/>
  <c r="S22" i="88"/>
  <c r="S10" i="88"/>
  <c r="S17" i="88"/>
  <c r="S11" i="88"/>
  <c r="S13" i="88"/>
  <c r="S8" i="88"/>
  <c r="S20" i="88"/>
  <c r="S16" i="88"/>
  <c r="S12" i="88"/>
  <c r="S9" i="88"/>
  <c r="S15" i="88"/>
  <c r="T21" i="88" s="1"/>
  <c r="U21" i="88" s="1"/>
  <c r="S14" i="88"/>
  <c r="S8" i="87"/>
  <c r="S14" i="87"/>
  <c r="S15" i="87"/>
  <c r="S13" i="87"/>
  <c r="S10" i="87"/>
  <c r="S17" i="87"/>
  <c r="S12" i="87"/>
  <c r="S9" i="87"/>
  <c r="S16" i="87"/>
  <c r="S11" i="87"/>
  <c r="AE2" i="91"/>
  <c r="AD11" i="91"/>
  <c r="AD9" i="91"/>
  <c r="AD13" i="91"/>
  <c r="AD8" i="91"/>
  <c r="AD12" i="91"/>
  <c r="AD10" i="91"/>
  <c r="V2" i="91"/>
  <c r="M2" i="91"/>
  <c r="U11" i="91"/>
  <c r="L11" i="91"/>
  <c r="U9" i="91"/>
  <c r="L9" i="91"/>
  <c r="U13" i="91"/>
  <c r="L13" i="91"/>
  <c r="U8" i="91"/>
  <c r="L8" i="91"/>
  <c r="U12" i="91"/>
  <c r="L12" i="91"/>
  <c r="U10" i="91"/>
  <c r="L10" i="91"/>
  <c r="AG13" i="90"/>
  <c r="AH13" i="90" s="1"/>
  <c r="AC13" i="90"/>
  <c r="AD13" i="90" s="1"/>
  <c r="U13" i="90"/>
  <c r="L13" i="90"/>
  <c r="AG14" i="90"/>
  <c r="AH14" i="90" s="1"/>
  <c r="AC14" i="90"/>
  <c r="AD14" i="90" s="1"/>
  <c r="U14" i="90"/>
  <c r="L14" i="90"/>
  <c r="U17" i="90"/>
  <c r="L17" i="90"/>
  <c r="AG10" i="90"/>
  <c r="AH10" i="90" s="1"/>
  <c r="AC10" i="90"/>
  <c r="AD10" i="90" s="1"/>
  <c r="U10" i="90"/>
  <c r="L10" i="90"/>
  <c r="U16" i="90"/>
  <c r="L16" i="90"/>
  <c r="AG15" i="90"/>
  <c r="AH15" i="90" s="1"/>
  <c r="AC15" i="90"/>
  <c r="AD15" i="90" s="1"/>
  <c r="U15" i="90"/>
  <c r="L15" i="90"/>
  <c r="AG9" i="90"/>
  <c r="AH9" i="90" s="1"/>
  <c r="AC9" i="90"/>
  <c r="AD9" i="90" s="1"/>
  <c r="U9" i="90"/>
  <c r="L9" i="90"/>
  <c r="U18" i="90"/>
  <c r="L18" i="90"/>
  <c r="AG12" i="90"/>
  <c r="AH12" i="90" s="1"/>
  <c r="AC12" i="90"/>
  <c r="AD12" i="90" s="1"/>
  <c r="U12" i="90"/>
  <c r="L12" i="90"/>
  <c r="AG8" i="90"/>
  <c r="AH8" i="90" s="1"/>
  <c r="AC8" i="90"/>
  <c r="AD8" i="90" s="1"/>
  <c r="U8" i="90"/>
  <c r="L8" i="90"/>
  <c r="AG11" i="90"/>
  <c r="AH11" i="90" s="1"/>
  <c r="AC11" i="90"/>
  <c r="AD11" i="90" s="1"/>
  <c r="U11" i="90"/>
  <c r="L11" i="90"/>
  <c r="V2" i="90"/>
  <c r="W13" i="90" s="1"/>
  <c r="AC10" i="89"/>
  <c r="AD10" i="89" s="1"/>
  <c r="AC15" i="89"/>
  <c r="AD15" i="89" s="1"/>
  <c r="AC9" i="89"/>
  <c r="AD9" i="89" s="1"/>
  <c r="AC11" i="89"/>
  <c r="AD11" i="89" s="1"/>
  <c r="AC8" i="89"/>
  <c r="AD8" i="89" s="1"/>
  <c r="AC14" i="89"/>
  <c r="AD14" i="89" s="1"/>
  <c r="AC12" i="89"/>
  <c r="AD12" i="89" s="1"/>
  <c r="AC13" i="89"/>
  <c r="AD13" i="89" s="1"/>
  <c r="V2" i="89"/>
  <c r="W24" i="89"/>
  <c r="U24" i="89"/>
  <c r="L24" i="89"/>
  <c r="W10" i="89"/>
  <c r="U10" i="89"/>
  <c r="AG10" i="89"/>
  <c r="AH10" i="89" s="1"/>
  <c r="L10" i="89"/>
  <c r="W26" i="89"/>
  <c r="U26" i="89"/>
  <c r="L26" i="89"/>
  <c r="W22" i="89"/>
  <c r="U22" i="89"/>
  <c r="L22" i="89"/>
  <c r="W23" i="89"/>
  <c r="U23" i="89"/>
  <c r="L23" i="89"/>
  <c r="W15" i="89"/>
  <c r="U15" i="89"/>
  <c r="AG15" i="89"/>
  <c r="AH15" i="89" s="1"/>
  <c r="L15" i="89"/>
  <c r="W9" i="89"/>
  <c r="U9" i="89"/>
  <c r="AG9" i="89"/>
  <c r="AH9" i="89" s="1"/>
  <c r="L9" i="89"/>
  <c r="W11" i="89"/>
  <c r="U11" i="89"/>
  <c r="AG11" i="89"/>
  <c r="AH11" i="89" s="1"/>
  <c r="L11" i="89"/>
  <c r="W17" i="89"/>
  <c r="U17" i="89"/>
  <c r="L17" i="89"/>
  <c r="W16" i="89"/>
  <c r="U16" i="89"/>
  <c r="L16" i="89"/>
  <c r="W8" i="89"/>
  <c r="U8" i="89"/>
  <c r="AG8" i="89"/>
  <c r="AH8" i="89" s="1"/>
  <c r="L8" i="89"/>
  <c r="W14" i="89"/>
  <c r="U14" i="89"/>
  <c r="AG14" i="89"/>
  <c r="AH14" i="89" s="1"/>
  <c r="L14" i="89"/>
  <c r="W12" i="89"/>
  <c r="U12" i="89"/>
  <c r="AG12" i="89"/>
  <c r="AH12" i="89" s="1"/>
  <c r="L12" i="89"/>
  <c r="L28" i="89"/>
  <c r="W21" i="89"/>
  <c r="U21" i="89"/>
  <c r="L21" i="89"/>
  <c r="W13" i="89"/>
  <c r="U13" i="89"/>
  <c r="AG13" i="89"/>
  <c r="AH13" i="89" s="1"/>
  <c r="L13" i="89"/>
  <c r="W18" i="89"/>
  <c r="U18" i="89"/>
  <c r="L18" i="89"/>
  <c r="W20" i="89"/>
  <c r="U20" i="89"/>
  <c r="L20" i="89"/>
  <c r="W19" i="89"/>
  <c r="U19" i="89"/>
  <c r="L19" i="89"/>
  <c r="W25" i="89"/>
  <c r="U25" i="89"/>
  <c r="L25" i="89"/>
  <c r="W27" i="89"/>
  <c r="U27" i="89"/>
  <c r="L27" i="89"/>
  <c r="AA21" i="88"/>
  <c r="Y21" i="88"/>
  <c r="L21" i="88"/>
  <c r="AA19" i="88"/>
  <c r="Y19" i="88"/>
  <c r="L19" i="88"/>
  <c r="AA18" i="88"/>
  <c r="Y18" i="88"/>
  <c r="L18" i="88"/>
  <c r="AS10" i="88"/>
  <c r="AQ10" i="88"/>
  <c r="AJ10" i="88"/>
  <c r="AH10" i="88"/>
  <c r="AA10" i="88"/>
  <c r="Y10" i="88"/>
  <c r="L10" i="88"/>
  <c r="AS8" i="88"/>
  <c r="AQ8" i="88"/>
  <c r="AJ8" i="88"/>
  <c r="AH8" i="88"/>
  <c r="AA8" i="88"/>
  <c r="Y8" i="88"/>
  <c r="L8" i="88"/>
  <c r="AS13" i="88"/>
  <c r="AQ13" i="88"/>
  <c r="AJ13" i="88"/>
  <c r="AH13" i="88"/>
  <c r="AA13" i="88"/>
  <c r="Y13" i="88"/>
  <c r="L13" i="88"/>
  <c r="AA22" i="88"/>
  <c r="Y22" i="88"/>
  <c r="L22" i="88"/>
  <c r="AA17" i="88"/>
  <c r="Y17" i="88"/>
  <c r="L17" i="88"/>
  <c r="AS11" i="88"/>
  <c r="AQ11" i="88"/>
  <c r="AJ11" i="88"/>
  <c r="AH11" i="88"/>
  <c r="AA11" i="88"/>
  <c r="Y11" i="88"/>
  <c r="L11" i="88"/>
  <c r="AS14" i="88"/>
  <c r="AQ14" i="88"/>
  <c r="AJ14" i="88"/>
  <c r="AH14" i="88"/>
  <c r="AA14" i="88"/>
  <c r="Y14" i="88"/>
  <c r="L14" i="88"/>
  <c r="AA16" i="88"/>
  <c r="Y16" i="88"/>
  <c r="L16" i="88"/>
  <c r="AS12" i="88"/>
  <c r="AQ12" i="88"/>
  <c r="AJ12" i="88"/>
  <c r="AH12" i="88"/>
  <c r="AA12" i="88"/>
  <c r="Y12" i="88"/>
  <c r="L12" i="88"/>
  <c r="AA20" i="88"/>
  <c r="Y20" i="88"/>
  <c r="L20" i="88"/>
  <c r="AS15" i="88"/>
  <c r="AQ15" i="88"/>
  <c r="AJ15" i="88"/>
  <c r="AH15" i="88"/>
  <c r="AA15" i="88"/>
  <c r="Y15" i="88"/>
  <c r="L15" i="88"/>
  <c r="AS9" i="88"/>
  <c r="AQ9" i="88"/>
  <c r="AJ9" i="88"/>
  <c r="AH9" i="88"/>
  <c r="AA9" i="88"/>
  <c r="Y9" i="88"/>
  <c r="L9" i="88"/>
  <c r="M2" i="88"/>
  <c r="N19" i="88" s="1"/>
  <c r="AH13" i="87"/>
  <c r="AH15" i="87"/>
  <c r="AH14" i="87"/>
  <c r="AH8" i="87"/>
  <c r="AH10" i="87"/>
  <c r="AH11" i="87"/>
  <c r="AH12" i="87"/>
  <c r="AH9" i="87"/>
  <c r="M2" i="87"/>
  <c r="AQ13" i="87"/>
  <c r="AA13" i="87"/>
  <c r="Y13" i="87"/>
  <c r="T13" i="87"/>
  <c r="U13" i="87" s="1"/>
  <c r="L13" i="87"/>
  <c r="AQ15" i="87"/>
  <c r="AA15" i="87"/>
  <c r="Y15" i="87"/>
  <c r="T15" i="87"/>
  <c r="U15" i="87" s="1"/>
  <c r="L15" i="87"/>
  <c r="AA17" i="87"/>
  <c r="Y17" i="87"/>
  <c r="T17" i="87"/>
  <c r="U17" i="87" s="1"/>
  <c r="L17" i="87"/>
  <c r="AQ14" i="87"/>
  <c r="AA14" i="87"/>
  <c r="Y14" i="87"/>
  <c r="T14" i="87"/>
  <c r="U14" i="87" s="1"/>
  <c r="L14" i="87"/>
  <c r="AQ8" i="87"/>
  <c r="AA8" i="87"/>
  <c r="Y8" i="87"/>
  <c r="T8" i="87"/>
  <c r="U8" i="87" s="1"/>
  <c r="L8" i="87"/>
  <c r="AQ10" i="87"/>
  <c r="AA10" i="87"/>
  <c r="Y10" i="87"/>
  <c r="T10" i="87"/>
  <c r="U10" i="87" s="1"/>
  <c r="L10" i="87"/>
  <c r="AQ11" i="87"/>
  <c r="AA11" i="87"/>
  <c r="Y11" i="87"/>
  <c r="T11" i="87"/>
  <c r="U11" i="87" s="1"/>
  <c r="L11" i="87"/>
  <c r="AQ12" i="87"/>
  <c r="AA12" i="87"/>
  <c r="Y12" i="87"/>
  <c r="T12" i="87"/>
  <c r="U12" i="87" s="1"/>
  <c r="L12" i="87"/>
  <c r="AQ9" i="87"/>
  <c r="AA9" i="87"/>
  <c r="Y9" i="87"/>
  <c r="T9" i="87"/>
  <c r="U9" i="87" s="1"/>
  <c r="L9" i="87"/>
  <c r="AA16" i="87"/>
  <c r="Y16" i="87"/>
  <c r="T16" i="87"/>
  <c r="U16" i="87" s="1"/>
  <c r="L16" i="87"/>
  <c r="R2" i="86"/>
  <c r="AI13" i="86"/>
  <c r="Z13" i="86"/>
  <c r="Q13" i="86"/>
  <c r="K13" i="86"/>
  <c r="L13" i="86" s="1"/>
  <c r="AI15" i="86"/>
  <c r="Z15" i="86"/>
  <c r="Q15" i="86"/>
  <c r="K15" i="86"/>
  <c r="L15" i="86" s="1"/>
  <c r="AI10" i="86"/>
  <c r="Z10" i="86"/>
  <c r="Q10" i="86"/>
  <c r="K10" i="86"/>
  <c r="L10" i="86" s="1"/>
  <c r="AI9" i="86"/>
  <c r="Z9" i="86"/>
  <c r="Q9" i="86"/>
  <c r="K9" i="86"/>
  <c r="L9" i="86" s="1"/>
  <c r="AI11" i="86"/>
  <c r="Z11" i="86"/>
  <c r="Q11" i="86"/>
  <c r="K11" i="86"/>
  <c r="L11" i="86" s="1"/>
  <c r="Z18" i="86"/>
  <c r="Q18" i="86"/>
  <c r="K18" i="86"/>
  <c r="L18" i="86" s="1"/>
  <c r="Z17" i="86"/>
  <c r="Q17" i="86"/>
  <c r="K17" i="86"/>
  <c r="L17" i="86" s="1"/>
  <c r="AI8" i="86"/>
  <c r="Z8" i="86"/>
  <c r="Q8" i="86"/>
  <c r="K8" i="86"/>
  <c r="L8" i="86" s="1"/>
  <c r="Z21" i="86"/>
  <c r="Q21" i="86"/>
  <c r="K21" i="86"/>
  <c r="L21" i="86" s="1"/>
  <c r="Q23" i="86"/>
  <c r="K23" i="86"/>
  <c r="L23" i="86" s="1"/>
  <c r="Z22" i="86"/>
  <c r="Q22" i="86"/>
  <c r="K22" i="86"/>
  <c r="L22" i="86" s="1"/>
  <c r="AI14" i="86"/>
  <c r="Z14" i="86"/>
  <c r="Q14" i="86"/>
  <c r="K14" i="86"/>
  <c r="L14" i="86" s="1"/>
  <c r="Z19" i="86"/>
  <c r="Q19" i="86"/>
  <c r="K19" i="86"/>
  <c r="L19" i="86" s="1"/>
  <c r="Z20" i="86"/>
  <c r="Q20" i="86"/>
  <c r="K20" i="86"/>
  <c r="L20" i="86" s="1"/>
  <c r="AI12" i="86"/>
  <c r="Z12" i="86"/>
  <c r="Q12" i="86"/>
  <c r="K12" i="86"/>
  <c r="L12" i="86" s="1"/>
  <c r="Z16" i="86"/>
  <c r="Q16" i="86"/>
  <c r="K16" i="86"/>
  <c r="L16" i="86" s="1"/>
  <c r="AJ2" i="86"/>
  <c r="AA2" i="86"/>
  <c r="AJ2" i="85"/>
  <c r="R2" i="85"/>
  <c r="AA2" i="85"/>
  <c r="K9" i="85"/>
  <c r="L9" i="85" s="1"/>
  <c r="K11" i="85"/>
  <c r="L11" i="85" s="1"/>
  <c r="K12" i="85"/>
  <c r="L12" i="85" s="1"/>
  <c r="K8" i="85"/>
  <c r="L8" i="85" s="1"/>
  <c r="K10" i="85"/>
  <c r="L10" i="85" s="1"/>
  <c r="AI9" i="85"/>
  <c r="Z9" i="85"/>
  <c r="Q9" i="85"/>
  <c r="AI11" i="85"/>
  <c r="Z11" i="85"/>
  <c r="Q11" i="85"/>
  <c r="AI12" i="85"/>
  <c r="Z12" i="85"/>
  <c r="Q12" i="85"/>
  <c r="AI8" i="85"/>
  <c r="Z8" i="85"/>
  <c r="Q8" i="85"/>
  <c r="AI10" i="85"/>
  <c r="Z10" i="85"/>
  <c r="Q10" i="85"/>
  <c r="Z2" i="78"/>
  <c r="AH11" i="80"/>
  <c r="Y11" i="80"/>
  <c r="T11" i="80"/>
  <c r="U11" i="80" s="1"/>
  <c r="L11" i="80"/>
  <c r="AH12" i="80"/>
  <c r="Y12" i="80"/>
  <c r="T12" i="80"/>
  <c r="U12" i="80" s="1"/>
  <c r="L12" i="80"/>
  <c r="AH8" i="80"/>
  <c r="Y8" i="80"/>
  <c r="T8" i="80"/>
  <c r="U8" i="80" s="1"/>
  <c r="L8" i="80"/>
  <c r="AH10" i="80"/>
  <c r="Y10" i="80"/>
  <c r="T10" i="80"/>
  <c r="U10" i="80" s="1"/>
  <c r="L10" i="80"/>
  <c r="AH9" i="80"/>
  <c r="Y9" i="80"/>
  <c r="T9" i="80"/>
  <c r="U9" i="80" s="1"/>
  <c r="L9" i="80"/>
  <c r="AI2" i="80"/>
  <c r="Z2" i="80"/>
  <c r="AA11" i="80" s="1"/>
  <c r="M2" i="80"/>
  <c r="AA9" i="78"/>
  <c r="U9" i="78"/>
  <c r="T9" i="78"/>
  <c r="AA8" i="78"/>
  <c r="T8" i="78"/>
  <c r="U8" i="78" s="1"/>
  <c r="L8" i="78"/>
  <c r="AI2" i="78"/>
  <c r="M2" i="78"/>
  <c r="W13" i="91" l="1"/>
  <c r="X13" i="91" s="1"/>
  <c r="W9" i="91"/>
  <c r="X9" i="91" s="1"/>
  <c r="AA9" i="80"/>
  <c r="AB9" i="80" s="1"/>
  <c r="AA8" i="80"/>
  <c r="AB8" i="80" s="1"/>
  <c r="AA10" i="80"/>
  <c r="AB10" i="80" s="1"/>
  <c r="AA12" i="80"/>
  <c r="AB12" i="80" s="1"/>
  <c r="T12" i="88"/>
  <c r="U12" i="88" s="1"/>
  <c r="T20" i="88"/>
  <c r="U20" i="88" s="1"/>
  <c r="T13" i="88"/>
  <c r="U13" i="88" s="1"/>
  <c r="T17" i="88"/>
  <c r="U17" i="88" s="1"/>
  <c r="T9" i="88"/>
  <c r="U9" i="88" s="1"/>
  <c r="T15" i="88"/>
  <c r="U15" i="88" s="1"/>
  <c r="T16" i="88"/>
  <c r="U16" i="88" s="1"/>
  <c r="T14" i="88"/>
  <c r="U14" i="88" s="1"/>
  <c r="T11" i="88"/>
  <c r="U11" i="88" s="1"/>
  <c r="T22" i="88"/>
  <c r="U22" i="88" s="1"/>
  <c r="T8" i="88"/>
  <c r="U8" i="88" s="1"/>
  <c r="T10" i="88"/>
  <c r="U10" i="88" s="1"/>
  <c r="T18" i="88"/>
  <c r="U18" i="88" s="1"/>
  <c r="T19" i="88"/>
  <c r="U19" i="88" s="1"/>
  <c r="N9" i="88"/>
  <c r="O9" i="88" s="1"/>
  <c r="AB9" i="88"/>
  <c r="AT9" i="88"/>
  <c r="AB15" i="88"/>
  <c r="AK15" i="88"/>
  <c r="N20" i="88"/>
  <c r="O20" i="88" s="1"/>
  <c r="AB20" i="88"/>
  <c r="AB12" i="88"/>
  <c r="AK12" i="88"/>
  <c r="N16" i="88"/>
  <c r="O16" i="88" s="1"/>
  <c r="AB16" i="88"/>
  <c r="AB14" i="88"/>
  <c r="AK14" i="88"/>
  <c r="N11" i="88"/>
  <c r="O11" i="88" s="1"/>
  <c r="AB11" i="88"/>
  <c r="AT11" i="88"/>
  <c r="AB17" i="88"/>
  <c r="N22" i="88"/>
  <c r="O22" i="88" s="1"/>
  <c r="AB22" i="88"/>
  <c r="AB13" i="88"/>
  <c r="AK13" i="88"/>
  <c r="N8" i="88"/>
  <c r="O8" i="88" s="1"/>
  <c r="AB8" i="88"/>
  <c r="AT8" i="88"/>
  <c r="AB10" i="88"/>
  <c r="AK10" i="88"/>
  <c r="N18" i="88"/>
  <c r="O18" i="88" s="1"/>
  <c r="AB18" i="88"/>
  <c r="AB19" i="88"/>
  <c r="AB21" i="88"/>
  <c r="W18" i="90"/>
  <c r="X18" i="90" s="1"/>
  <c r="W10" i="90"/>
  <c r="X10" i="90" s="1"/>
  <c r="W8" i="90"/>
  <c r="X8" i="90" s="1"/>
  <c r="W15" i="90"/>
  <c r="X15" i="90" s="1"/>
  <c r="X27" i="89"/>
  <c r="X19" i="89"/>
  <c r="X18" i="89"/>
  <c r="X21" i="89"/>
  <c r="X12" i="89"/>
  <c r="X8" i="89"/>
  <c r="X17" i="89"/>
  <c r="X9" i="89"/>
  <c r="X23" i="89"/>
  <c r="X26" i="89"/>
  <c r="X24" i="89"/>
  <c r="AF11" i="91"/>
  <c r="AG11" i="91" s="1"/>
  <c r="AF9" i="91"/>
  <c r="AG9" i="91" s="1"/>
  <c r="AF13" i="91"/>
  <c r="AG13" i="91" s="1"/>
  <c r="AF8" i="91"/>
  <c r="AG8" i="91" s="1"/>
  <c r="AF10" i="91"/>
  <c r="AG10" i="91" s="1"/>
  <c r="AF12" i="91"/>
  <c r="AG12" i="91" s="1"/>
  <c r="N9" i="91"/>
  <c r="O9" i="91" s="1"/>
  <c r="N13" i="91"/>
  <c r="O13" i="91" s="1"/>
  <c r="N11" i="91"/>
  <c r="O11" i="91" s="1"/>
  <c r="N8" i="91"/>
  <c r="O8" i="91" s="1"/>
  <c r="N12" i="91"/>
  <c r="O12" i="91" s="1"/>
  <c r="N10" i="91"/>
  <c r="O10" i="91" s="1"/>
  <c r="W11" i="91"/>
  <c r="X11" i="91" s="1"/>
  <c r="W10" i="91"/>
  <c r="X10" i="91" s="1"/>
  <c r="W12" i="91"/>
  <c r="X12" i="91" s="1"/>
  <c r="W8" i="91"/>
  <c r="X8" i="91" s="1"/>
  <c r="AB16" i="86"/>
  <c r="AC16" i="86" s="1"/>
  <c r="AB12" i="86"/>
  <c r="AC12" i="86" s="1"/>
  <c r="AB20" i="86"/>
  <c r="AC20" i="86" s="1"/>
  <c r="AB19" i="86"/>
  <c r="AC19" i="86" s="1"/>
  <c r="AB14" i="86"/>
  <c r="AC14" i="86" s="1"/>
  <c r="AB22" i="86"/>
  <c r="AC22" i="86" s="1"/>
  <c r="AB21" i="86"/>
  <c r="AC21" i="86" s="1"/>
  <c r="AB8" i="86"/>
  <c r="AC8" i="86" s="1"/>
  <c r="N13" i="90"/>
  <c r="O13" i="90" s="1"/>
  <c r="N10" i="90"/>
  <c r="O10" i="90" s="1"/>
  <c r="N15" i="90"/>
  <c r="O15" i="90" s="1"/>
  <c r="N18" i="90"/>
  <c r="O18" i="90" s="1"/>
  <c r="N8" i="90"/>
  <c r="O8" i="90" s="1"/>
  <c r="N14" i="90"/>
  <c r="N17" i="90"/>
  <c r="O17" i="90" s="1"/>
  <c r="N16" i="90"/>
  <c r="O16" i="90" s="1"/>
  <c r="N9" i="90"/>
  <c r="O9" i="90" s="1"/>
  <c r="N12" i="90"/>
  <c r="O12" i="90" s="1"/>
  <c r="N11" i="90"/>
  <c r="O11" i="90" s="1"/>
  <c r="W14" i="90"/>
  <c r="X14" i="90" s="1"/>
  <c r="W11" i="90"/>
  <c r="X11" i="90" s="1"/>
  <c r="W12" i="90"/>
  <c r="X12" i="90" s="1"/>
  <c r="W9" i="90"/>
  <c r="X9" i="90" s="1"/>
  <c r="W16" i="90"/>
  <c r="X16" i="90" s="1"/>
  <c r="W17" i="90"/>
  <c r="X17" i="90" s="1"/>
  <c r="O14" i="90"/>
  <c r="X13" i="90"/>
  <c r="X25" i="89"/>
  <c r="X20" i="89"/>
  <c r="X13" i="89"/>
  <c r="X14" i="89"/>
  <c r="X16" i="89"/>
  <c r="X11" i="89"/>
  <c r="X15" i="89"/>
  <c r="X22" i="89"/>
  <c r="X10" i="89"/>
  <c r="N27" i="89"/>
  <c r="O27" i="89" s="1"/>
  <c r="N19" i="89"/>
  <c r="O19" i="89" s="1"/>
  <c r="N18" i="89"/>
  <c r="O18" i="89" s="1"/>
  <c r="N21" i="89"/>
  <c r="O21" i="89" s="1"/>
  <c r="N12" i="89"/>
  <c r="O12" i="89" s="1"/>
  <c r="N8" i="89"/>
  <c r="O8" i="89" s="1"/>
  <c r="N17" i="89"/>
  <c r="O17" i="89" s="1"/>
  <c r="N11" i="89"/>
  <c r="O11" i="89" s="1"/>
  <c r="N15" i="89"/>
  <c r="O15" i="89" s="1"/>
  <c r="N22" i="89"/>
  <c r="O22" i="89" s="1"/>
  <c r="N10" i="89"/>
  <c r="O10" i="89" s="1"/>
  <c r="N24" i="89"/>
  <c r="O24" i="89" s="1"/>
  <c r="N26" i="89"/>
  <c r="O26" i="89" s="1"/>
  <c r="N23" i="89"/>
  <c r="O23" i="89" s="1"/>
  <c r="N9" i="89"/>
  <c r="O9" i="89" s="1"/>
  <c r="N25" i="89"/>
  <c r="O25" i="89" s="1"/>
  <c r="N20" i="89"/>
  <c r="O20" i="89" s="1"/>
  <c r="N13" i="89"/>
  <c r="O13" i="89" s="1"/>
  <c r="N28" i="89"/>
  <c r="O28" i="89" s="1"/>
  <c r="N14" i="89"/>
  <c r="O14" i="89" s="1"/>
  <c r="N16" i="89"/>
  <c r="O16" i="89" s="1"/>
  <c r="AK9" i="88"/>
  <c r="AT15" i="88"/>
  <c r="AT12" i="88"/>
  <c r="AT14" i="88"/>
  <c r="AK11" i="88"/>
  <c r="AT13" i="88"/>
  <c r="AK8" i="88"/>
  <c r="AT10" i="88"/>
  <c r="N21" i="88"/>
  <c r="O21" i="88" s="1"/>
  <c r="N15" i="88"/>
  <c r="O15" i="88" s="1"/>
  <c r="N12" i="88"/>
  <c r="O12" i="88" s="1"/>
  <c r="N14" i="88"/>
  <c r="O14" i="88" s="1"/>
  <c r="N17" i="88"/>
  <c r="O17" i="88" s="1"/>
  <c r="N13" i="88"/>
  <c r="O13" i="88" s="1"/>
  <c r="N10" i="88"/>
  <c r="O10" i="88" s="1"/>
  <c r="O19" i="88"/>
  <c r="AJ13" i="87"/>
  <c r="AK13" i="87" s="1"/>
  <c r="AJ8" i="87"/>
  <c r="AK8" i="87" s="1"/>
  <c r="AJ11" i="87"/>
  <c r="AK11" i="87" s="1"/>
  <c r="AJ9" i="87"/>
  <c r="AK9" i="87" s="1"/>
  <c r="AJ15" i="87"/>
  <c r="AK15" i="87" s="1"/>
  <c r="AJ14" i="87"/>
  <c r="AK14" i="87" s="1"/>
  <c r="AJ10" i="87"/>
  <c r="AK10" i="87" s="1"/>
  <c r="AJ12" i="87"/>
  <c r="AK12" i="87" s="1"/>
  <c r="N13" i="87"/>
  <c r="O13" i="87" s="1"/>
  <c r="N15" i="87"/>
  <c r="O15" i="87" s="1"/>
  <c r="N17" i="87"/>
  <c r="O17" i="87" s="1"/>
  <c r="N14" i="87"/>
  <c r="O14" i="87" s="1"/>
  <c r="N8" i="87"/>
  <c r="O8" i="87" s="1"/>
  <c r="N10" i="87"/>
  <c r="O10" i="87" s="1"/>
  <c r="N11" i="87"/>
  <c r="O11" i="87" s="1"/>
  <c r="N12" i="87"/>
  <c r="O12" i="87" s="1"/>
  <c r="N9" i="87"/>
  <c r="O9" i="87" s="1"/>
  <c r="N16" i="87"/>
  <c r="O16" i="87" s="1"/>
  <c r="AS13" i="87"/>
  <c r="AT13" i="87" s="1"/>
  <c r="AS15" i="87"/>
  <c r="AT15" i="87" s="1"/>
  <c r="AS14" i="87"/>
  <c r="AT14" i="87" s="1"/>
  <c r="AS8" i="87"/>
  <c r="AT8" i="87" s="1"/>
  <c r="AS10" i="87"/>
  <c r="AT10" i="87" s="1"/>
  <c r="AS11" i="87"/>
  <c r="AT11" i="87" s="1"/>
  <c r="AS12" i="87"/>
  <c r="AT12" i="87" s="1"/>
  <c r="AS9" i="87"/>
  <c r="AT9" i="87" s="1"/>
  <c r="AB16" i="87"/>
  <c r="AB9" i="87"/>
  <c r="AB12" i="87"/>
  <c r="AB11" i="87"/>
  <c r="AB10" i="87"/>
  <c r="AB8" i="87"/>
  <c r="AB14" i="87"/>
  <c r="AB17" i="87"/>
  <c r="AB15" i="87"/>
  <c r="AB13" i="87"/>
  <c r="S15" i="86"/>
  <c r="T15" i="86" s="1"/>
  <c r="S9" i="86"/>
  <c r="T9" i="86" s="1"/>
  <c r="S18" i="86"/>
  <c r="T18" i="86" s="1"/>
  <c r="S8" i="86"/>
  <c r="T8" i="86" s="1"/>
  <c r="S21" i="86"/>
  <c r="T21" i="86" s="1"/>
  <c r="S23" i="86"/>
  <c r="T23" i="86" s="1"/>
  <c r="S22" i="86"/>
  <c r="T22" i="86" s="1"/>
  <c r="S14" i="86"/>
  <c r="T14" i="86" s="1"/>
  <c r="S19" i="86"/>
  <c r="T19" i="86" s="1"/>
  <c r="S20" i="86"/>
  <c r="T20" i="86" s="1"/>
  <c r="S12" i="86"/>
  <c r="T12" i="86" s="1"/>
  <c r="S16" i="86"/>
  <c r="T16" i="86" s="1"/>
  <c r="AK13" i="86"/>
  <c r="AL13" i="86" s="1"/>
  <c r="AK10" i="86"/>
  <c r="AL10" i="86" s="1"/>
  <c r="AK11" i="86"/>
  <c r="AL11" i="86" s="1"/>
  <c r="AK8" i="86"/>
  <c r="AL8" i="86" s="1"/>
  <c r="AK14" i="86"/>
  <c r="AL14" i="86" s="1"/>
  <c r="AK12" i="86"/>
  <c r="AL12" i="86" s="1"/>
  <c r="AK9" i="86"/>
  <c r="AL9" i="86" s="1"/>
  <c r="AK15" i="86"/>
  <c r="AL15" i="86" s="1"/>
  <c r="S17" i="86"/>
  <c r="T17" i="86" s="1"/>
  <c r="S11" i="86"/>
  <c r="T11" i="86" s="1"/>
  <c r="S10" i="86"/>
  <c r="T10" i="86" s="1"/>
  <c r="S13" i="86"/>
  <c r="T13" i="86" s="1"/>
  <c r="AB13" i="86"/>
  <c r="AC13" i="86" s="1"/>
  <c r="AB15" i="86"/>
  <c r="AC15" i="86" s="1"/>
  <c r="AB10" i="86"/>
  <c r="AC10" i="86" s="1"/>
  <c r="AB9" i="86"/>
  <c r="AC9" i="86" s="1"/>
  <c r="AB11" i="86"/>
  <c r="AC11" i="86" s="1"/>
  <c r="AB18" i="86"/>
  <c r="AC18" i="86" s="1"/>
  <c r="AB17" i="86"/>
  <c r="AC17" i="86" s="1"/>
  <c r="AB10" i="85"/>
  <c r="AC10" i="85" s="1"/>
  <c r="AB12" i="85"/>
  <c r="AC12" i="85" s="1"/>
  <c r="AB9" i="85"/>
  <c r="AC9" i="85" s="1"/>
  <c r="AB8" i="85"/>
  <c r="AC8" i="85" s="1"/>
  <c r="AB11" i="85"/>
  <c r="AC11" i="85" s="1"/>
  <c r="S9" i="85"/>
  <c r="T9" i="85" s="1"/>
  <c r="S11" i="85"/>
  <c r="T11" i="85" s="1"/>
  <c r="S12" i="85"/>
  <c r="T12" i="85" s="1"/>
  <c r="S8" i="85"/>
  <c r="T8" i="85" s="1"/>
  <c r="S10" i="85"/>
  <c r="T10" i="85" s="1"/>
  <c r="AK9" i="85"/>
  <c r="AL9" i="85" s="1"/>
  <c r="AK11" i="85"/>
  <c r="AL11" i="85" s="1"/>
  <c r="AK12" i="85"/>
  <c r="AL12" i="85" s="1"/>
  <c r="AK8" i="85"/>
  <c r="AL8" i="85" s="1"/>
  <c r="AK10" i="85"/>
  <c r="AL10" i="85" s="1"/>
  <c r="N11" i="80"/>
  <c r="O11" i="80" s="1"/>
  <c r="N12" i="80"/>
  <c r="O12" i="80" s="1"/>
  <c r="N8" i="80"/>
  <c r="O8" i="80" s="1"/>
  <c r="N10" i="80"/>
  <c r="O10" i="80" s="1"/>
  <c r="N9" i="80"/>
  <c r="O9" i="80" s="1"/>
  <c r="AJ11" i="80"/>
  <c r="AK11" i="80" s="1"/>
  <c r="AJ12" i="80"/>
  <c r="AK12" i="80" s="1"/>
  <c r="AJ8" i="80"/>
  <c r="AK8" i="80" s="1"/>
  <c r="AJ10" i="80"/>
  <c r="AK10" i="80" s="1"/>
  <c r="AJ9" i="80"/>
  <c r="AK9" i="80" s="1"/>
  <c r="AB11" i="80"/>
  <c r="N9" i="78"/>
  <c r="O9" i="78" s="1"/>
  <c r="N8" i="78"/>
  <c r="O8" i="78" s="1"/>
  <c r="P8" i="78" s="1"/>
  <c r="Q8" i="78" s="1"/>
  <c r="AJ9" i="78"/>
  <c r="AK9" i="78" s="1"/>
  <c r="AJ8" i="78"/>
  <c r="AK8" i="78" s="1"/>
  <c r="AB8" i="78"/>
  <c r="AB9" i="78"/>
  <c r="AL8" i="78" l="1"/>
  <c r="AM8" i="78" s="1"/>
  <c r="AL9" i="80"/>
  <c r="AM9" i="80" s="1"/>
  <c r="Y19" i="89"/>
  <c r="Z19" i="89" s="1"/>
  <c r="Y8" i="89"/>
  <c r="Z8" i="89" s="1"/>
  <c r="AC16" i="88"/>
  <c r="AD16" i="88" s="1"/>
  <c r="AC18" i="88"/>
  <c r="AD18" i="88" s="1"/>
  <c r="AC21" i="88"/>
  <c r="AD21" i="88" s="1"/>
  <c r="AC19" i="88"/>
  <c r="AD19" i="88" s="1"/>
  <c r="AC20" i="88"/>
  <c r="AD20" i="88" s="1"/>
  <c r="AC22" i="88"/>
  <c r="AD22" i="88" s="1"/>
  <c r="AC8" i="88"/>
  <c r="AD8" i="88" s="1"/>
  <c r="AC11" i="88"/>
  <c r="AD11" i="88" s="1"/>
  <c r="AC13" i="88"/>
  <c r="AD13" i="88" s="1"/>
  <c r="AC14" i="88"/>
  <c r="AD14" i="88" s="1"/>
  <c r="AC15" i="88"/>
  <c r="AD15" i="88" s="1"/>
  <c r="Y11" i="89"/>
  <c r="Z11" i="89" s="1"/>
  <c r="AC9" i="88"/>
  <c r="AD9" i="88" s="1"/>
  <c r="AC10" i="88"/>
  <c r="AD10" i="88" s="1"/>
  <c r="AC17" i="88"/>
  <c r="AD17" i="88" s="1"/>
  <c r="AC12" i="88"/>
  <c r="AD12" i="88" s="1"/>
  <c r="Y16" i="90"/>
  <c r="Z16" i="90" s="1"/>
  <c r="P11" i="90"/>
  <c r="Q11" i="90" s="1"/>
  <c r="AH10" i="91"/>
  <c r="AI10" i="91" s="1"/>
  <c r="AH12" i="91"/>
  <c r="AI12" i="91" s="1"/>
  <c r="AH8" i="91"/>
  <c r="AI8" i="91" s="1"/>
  <c r="AH13" i="91"/>
  <c r="AI13" i="91" s="1"/>
  <c r="AH11" i="91"/>
  <c r="AI11" i="91" s="1"/>
  <c r="AH9" i="91"/>
  <c r="AI9" i="91" s="1"/>
  <c r="P10" i="91"/>
  <c r="Q10" i="91" s="1"/>
  <c r="Y12" i="91"/>
  <c r="Z12" i="91" s="1"/>
  <c r="Y9" i="91"/>
  <c r="Z9" i="91" s="1"/>
  <c r="Y11" i="91"/>
  <c r="Z11" i="91" s="1"/>
  <c r="P12" i="91"/>
  <c r="Q12" i="91" s="1"/>
  <c r="P9" i="91"/>
  <c r="Q9" i="91" s="1"/>
  <c r="P8" i="91"/>
  <c r="Q8" i="91" s="1"/>
  <c r="P11" i="91"/>
  <c r="Q11" i="91" s="1"/>
  <c r="Y8" i="91"/>
  <c r="Z8" i="91" s="1"/>
  <c r="Y10" i="91"/>
  <c r="Z10" i="91" s="1"/>
  <c r="P13" i="91"/>
  <c r="Q13" i="91" s="1"/>
  <c r="Y13" i="91"/>
  <c r="Z13" i="91" s="1"/>
  <c r="AD18" i="86"/>
  <c r="AE18" i="86" s="1"/>
  <c r="Y12" i="90"/>
  <c r="Z12" i="90" s="1"/>
  <c r="Y8" i="90"/>
  <c r="Z8" i="90" s="1"/>
  <c r="Y10" i="90"/>
  <c r="Z10" i="90" s="1"/>
  <c r="Y14" i="90"/>
  <c r="Z14" i="90" s="1"/>
  <c r="P12" i="90"/>
  <c r="Q12" i="90" s="1"/>
  <c r="C12" i="90" s="1"/>
  <c r="P18" i="90"/>
  <c r="Q18" i="90" s="1"/>
  <c r="P10" i="90"/>
  <c r="Q10" i="90" s="1"/>
  <c r="C10" i="90" s="1"/>
  <c r="Y17" i="90"/>
  <c r="Z17" i="90" s="1"/>
  <c r="P9" i="90"/>
  <c r="Q9" i="90" s="1"/>
  <c r="Y13" i="90"/>
  <c r="Z13" i="90" s="1"/>
  <c r="P14" i="90"/>
  <c r="Q14" i="90" s="1"/>
  <c r="P16" i="90"/>
  <c r="Q16" i="90" s="1"/>
  <c r="Y9" i="90"/>
  <c r="Z9" i="90" s="1"/>
  <c r="P17" i="90"/>
  <c r="Q17" i="90" s="1"/>
  <c r="C17" i="90" s="1"/>
  <c r="Y11" i="90"/>
  <c r="Z11" i="90" s="1"/>
  <c r="P13" i="90"/>
  <c r="Q13" i="90" s="1"/>
  <c r="C13" i="90" s="1"/>
  <c r="P15" i="90"/>
  <c r="Q15" i="90" s="1"/>
  <c r="Y18" i="90"/>
  <c r="Z18" i="90" s="1"/>
  <c r="P8" i="90"/>
  <c r="Q8" i="90" s="1"/>
  <c r="Y15" i="90"/>
  <c r="Z15" i="90" s="1"/>
  <c r="Y18" i="89"/>
  <c r="Z18" i="89" s="1"/>
  <c r="Y26" i="89"/>
  <c r="Z26" i="89" s="1"/>
  <c r="Y15" i="89"/>
  <c r="Z15" i="89" s="1"/>
  <c r="Y23" i="89"/>
  <c r="Z23" i="89" s="1"/>
  <c r="Y21" i="89"/>
  <c r="Z21" i="89" s="1"/>
  <c r="Y22" i="89"/>
  <c r="Z22" i="89" s="1"/>
  <c r="Y14" i="89"/>
  <c r="Z14" i="89" s="1"/>
  <c r="Y13" i="89"/>
  <c r="Z13" i="89" s="1"/>
  <c r="Y24" i="89"/>
  <c r="Z24" i="89" s="1"/>
  <c r="Y17" i="89"/>
  <c r="Z17" i="89" s="1"/>
  <c r="Y12" i="89"/>
  <c r="Z12" i="89" s="1"/>
  <c r="Y10" i="89"/>
  <c r="Z10" i="89" s="1"/>
  <c r="Y16" i="89"/>
  <c r="Z16" i="89" s="1"/>
  <c r="Y20" i="89"/>
  <c r="Z20" i="89" s="1"/>
  <c r="Y27" i="89"/>
  <c r="Z27" i="89" s="1"/>
  <c r="Y9" i="89"/>
  <c r="Z9" i="89" s="1"/>
  <c r="Y25" i="89"/>
  <c r="Z25" i="89" s="1"/>
  <c r="P10" i="89"/>
  <c r="Q10" i="89" s="1"/>
  <c r="P15" i="89"/>
  <c r="Q15" i="89" s="1"/>
  <c r="P14" i="89"/>
  <c r="Q14" i="89" s="1"/>
  <c r="P13" i="89"/>
  <c r="Q13" i="89" s="1"/>
  <c r="P25" i="89"/>
  <c r="Q25" i="89" s="1"/>
  <c r="P23" i="89"/>
  <c r="Q23" i="89" s="1"/>
  <c r="P24" i="89"/>
  <c r="Q24" i="89" s="1"/>
  <c r="P8" i="89"/>
  <c r="Q8" i="89" s="1"/>
  <c r="P21" i="89"/>
  <c r="Q21" i="89" s="1"/>
  <c r="P19" i="89"/>
  <c r="Q19" i="89" s="1"/>
  <c r="P22" i="89"/>
  <c r="Q22" i="89" s="1"/>
  <c r="P11" i="89"/>
  <c r="Q11" i="89" s="1"/>
  <c r="P16" i="89"/>
  <c r="Q16" i="89" s="1"/>
  <c r="P28" i="89"/>
  <c r="Q28" i="89" s="1"/>
  <c r="C28" i="89" s="1"/>
  <c r="P20" i="89"/>
  <c r="Q20" i="89" s="1"/>
  <c r="C20" i="89" s="1"/>
  <c r="P9" i="89"/>
  <c r="Q9" i="89" s="1"/>
  <c r="P26" i="89"/>
  <c r="Q26" i="89" s="1"/>
  <c r="P17" i="89"/>
  <c r="Q17" i="89" s="1"/>
  <c r="P12" i="89"/>
  <c r="Q12" i="89" s="1"/>
  <c r="P18" i="89"/>
  <c r="Q18" i="89" s="1"/>
  <c r="P27" i="89"/>
  <c r="Q27" i="89" s="1"/>
  <c r="P19" i="88"/>
  <c r="Q19" i="88" s="1"/>
  <c r="P13" i="88"/>
  <c r="Q13" i="88" s="1"/>
  <c r="P14" i="88"/>
  <c r="Q14" i="88" s="1"/>
  <c r="P15" i="88"/>
  <c r="Q15" i="88" s="1"/>
  <c r="P21" i="88"/>
  <c r="Q21" i="88" s="1"/>
  <c r="AU10" i="88"/>
  <c r="AV10" i="88" s="1"/>
  <c r="P8" i="88"/>
  <c r="Q8" i="88" s="1"/>
  <c r="P11" i="88"/>
  <c r="Q11" i="88" s="1"/>
  <c r="AU12" i="88"/>
  <c r="AV12" i="88" s="1"/>
  <c r="P20" i="88"/>
  <c r="Q20" i="88" s="1"/>
  <c r="AL9" i="88"/>
  <c r="AM9" i="88" s="1"/>
  <c r="AL12" i="88"/>
  <c r="AM12" i="88" s="1"/>
  <c r="AL14" i="88"/>
  <c r="AM14" i="88" s="1"/>
  <c r="AL15" i="88"/>
  <c r="AM15" i="88" s="1"/>
  <c r="P10" i="88"/>
  <c r="Q10" i="88" s="1"/>
  <c r="P17" i="88"/>
  <c r="Q17" i="88" s="1"/>
  <c r="P12" i="88"/>
  <c r="Q12" i="88" s="1"/>
  <c r="P18" i="88"/>
  <c r="Q18" i="88" s="1"/>
  <c r="AL8" i="88"/>
  <c r="AM8" i="88" s="1"/>
  <c r="AU13" i="88"/>
  <c r="AV13" i="88" s="1"/>
  <c r="P22" i="88"/>
  <c r="Q22" i="88" s="1"/>
  <c r="AL11" i="88"/>
  <c r="AM11" i="88" s="1"/>
  <c r="AU14" i="88"/>
  <c r="AV14" i="88" s="1"/>
  <c r="P16" i="88"/>
  <c r="Q16" i="88" s="1"/>
  <c r="C16" i="88" s="1"/>
  <c r="AU15" i="88"/>
  <c r="AV15" i="88" s="1"/>
  <c r="P9" i="88"/>
  <c r="Q9" i="88" s="1"/>
  <c r="AU11" i="88"/>
  <c r="AV11" i="88" s="1"/>
  <c r="AL10" i="88"/>
  <c r="AM10" i="88" s="1"/>
  <c r="AU8" i="88"/>
  <c r="AV8" i="88" s="1"/>
  <c r="AL13" i="88"/>
  <c r="AM13" i="88" s="1"/>
  <c r="AU9" i="88"/>
  <c r="AV9" i="88" s="1"/>
  <c r="AL12" i="87"/>
  <c r="AM12" i="87" s="1"/>
  <c r="AL10" i="87"/>
  <c r="AM10" i="87" s="1"/>
  <c r="AL15" i="87"/>
  <c r="AM15" i="87" s="1"/>
  <c r="AL8" i="87"/>
  <c r="AM8" i="87" s="1"/>
  <c r="AL13" i="87"/>
  <c r="AM13" i="87" s="1"/>
  <c r="AL14" i="87"/>
  <c r="AM14" i="87" s="1"/>
  <c r="AL9" i="87"/>
  <c r="AM9" i="87" s="1"/>
  <c r="AL11" i="87"/>
  <c r="AM11" i="87" s="1"/>
  <c r="P16" i="87"/>
  <c r="Q16" i="87" s="1"/>
  <c r="P12" i="87"/>
  <c r="Q12" i="87" s="1"/>
  <c r="P10" i="87"/>
  <c r="Q10" i="87" s="1"/>
  <c r="P14" i="87"/>
  <c r="Q14" i="87" s="1"/>
  <c r="P15" i="87"/>
  <c r="Q15" i="87" s="1"/>
  <c r="AU12" i="87"/>
  <c r="AV12" i="87" s="1"/>
  <c r="AU10" i="87"/>
  <c r="AV10" i="87" s="1"/>
  <c r="AU14" i="87"/>
  <c r="AV14" i="87" s="1"/>
  <c r="AU15" i="87"/>
  <c r="AV15" i="87" s="1"/>
  <c r="P9" i="87"/>
  <c r="Q9" i="87" s="1"/>
  <c r="P11" i="87"/>
  <c r="Q11" i="87" s="1"/>
  <c r="P8" i="87"/>
  <c r="Q8" i="87" s="1"/>
  <c r="P17" i="87"/>
  <c r="Q17" i="87" s="1"/>
  <c r="P13" i="87"/>
  <c r="Q13" i="87" s="1"/>
  <c r="AU13" i="87"/>
  <c r="AV13" i="87" s="1"/>
  <c r="AU8" i="87"/>
  <c r="AV8" i="87" s="1"/>
  <c r="AU11" i="87"/>
  <c r="AV11" i="87" s="1"/>
  <c r="AU9" i="87"/>
  <c r="AV9" i="87" s="1"/>
  <c r="AC13" i="87"/>
  <c r="AD13" i="87" s="1"/>
  <c r="AC15" i="87"/>
  <c r="AD15" i="87" s="1"/>
  <c r="AC17" i="87"/>
  <c r="AD17" i="87" s="1"/>
  <c r="AC14" i="87"/>
  <c r="AD14" i="87" s="1"/>
  <c r="AC8" i="87"/>
  <c r="AD8" i="87" s="1"/>
  <c r="AC10" i="87"/>
  <c r="AD10" i="87" s="1"/>
  <c r="AC11" i="87"/>
  <c r="AD11" i="87" s="1"/>
  <c r="AC12" i="87"/>
  <c r="AD12" i="87" s="1"/>
  <c r="AC9" i="87"/>
  <c r="AD9" i="87" s="1"/>
  <c r="AC16" i="87"/>
  <c r="AD16" i="87" s="1"/>
  <c r="V16" i="86"/>
  <c r="AD9" i="86"/>
  <c r="AE9" i="86" s="1"/>
  <c r="AD15" i="86"/>
  <c r="AE15" i="86" s="1"/>
  <c r="AM14" i="86"/>
  <c r="AN14" i="86" s="1"/>
  <c r="AM8" i="86"/>
  <c r="AN8" i="86" s="1"/>
  <c r="V20" i="86"/>
  <c r="V14" i="86"/>
  <c r="V23" i="86"/>
  <c r="V8" i="86"/>
  <c r="V13" i="86"/>
  <c r="V10" i="86"/>
  <c r="V11" i="86"/>
  <c r="V17" i="86"/>
  <c r="AM13" i="86"/>
  <c r="AN13" i="86" s="1"/>
  <c r="AM10" i="86"/>
  <c r="AN10" i="86" s="1"/>
  <c r="AM11" i="86"/>
  <c r="AN11" i="86" s="1"/>
  <c r="AD8" i="86"/>
  <c r="AE8" i="86" s="1"/>
  <c r="AD14" i="86"/>
  <c r="AE14" i="86" s="1"/>
  <c r="AD20" i="86"/>
  <c r="AE20" i="86" s="1"/>
  <c r="AD16" i="86"/>
  <c r="AE16" i="86" s="1"/>
  <c r="V15" i="86"/>
  <c r="V9" i="86"/>
  <c r="V18" i="86"/>
  <c r="AD21" i="86"/>
  <c r="AE21" i="86" s="1"/>
  <c r="AD22" i="86"/>
  <c r="AE22" i="86" s="1"/>
  <c r="AD19" i="86"/>
  <c r="AE19" i="86" s="1"/>
  <c r="AD12" i="86"/>
  <c r="AE12" i="86" s="1"/>
  <c r="AM15" i="86"/>
  <c r="AN15" i="86" s="1"/>
  <c r="AM9" i="86"/>
  <c r="AN9" i="86" s="1"/>
  <c r="AD17" i="86"/>
  <c r="AE17" i="86" s="1"/>
  <c r="AD11" i="86"/>
  <c r="AE11" i="86" s="1"/>
  <c r="AD10" i="86"/>
  <c r="AE10" i="86" s="1"/>
  <c r="AD13" i="86"/>
  <c r="AE13" i="86" s="1"/>
  <c r="AM12" i="86"/>
  <c r="AN12" i="86" s="1"/>
  <c r="V12" i="86"/>
  <c r="V19" i="86"/>
  <c r="C19" i="86" s="1"/>
  <c r="V22" i="86"/>
  <c r="C22" i="86" s="1"/>
  <c r="V21" i="86"/>
  <c r="C21" i="86" s="1"/>
  <c r="AM10" i="85"/>
  <c r="AN10" i="85" s="1"/>
  <c r="V8" i="85"/>
  <c r="AM12" i="85"/>
  <c r="AN12" i="85" s="1"/>
  <c r="AM9" i="85"/>
  <c r="AN9" i="85" s="1"/>
  <c r="V11" i="85"/>
  <c r="AM8" i="85"/>
  <c r="AN8" i="85" s="1"/>
  <c r="AM11" i="85"/>
  <c r="AN11" i="85" s="1"/>
  <c r="V10" i="85"/>
  <c r="V12" i="85"/>
  <c r="V9" i="85"/>
  <c r="AD9" i="85"/>
  <c r="AE9" i="85" s="1"/>
  <c r="AD11" i="85"/>
  <c r="AE11" i="85" s="1"/>
  <c r="AD12" i="85"/>
  <c r="AE12" i="85" s="1"/>
  <c r="AD8" i="85"/>
  <c r="AE8" i="85" s="1"/>
  <c r="AD10" i="85"/>
  <c r="AE10" i="85" s="1"/>
  <c r="P9" i="80"/>
  <c r="Q9" i="80" s="1"/>
  <c r="P12" i="80"/>
  <c r="Q12" i="80" s="1"/>
  <c r="AL12" i="80"/>
  <c r="AM12" i="80" s="1"/>
  <c r="P10" i="80"/>
  <c r="Q10" i="80" s="1"/>
  <c r="P8" i="80"/>
  <c r="Q8" i="80" s="1"/>
  <c r="P11" i="80"/>
  <c r="Q11" i="80" s="1"/>
  <c r="AL11" i="80"/>
  <c r="AM11" i="80" s="1"/>
  <c r="AL8" i="80"/>
  <c r="AM8" i="80" s="1"/>
  <c r="AL10" i="80"/>
  <c r="AM10" i="80" s="1"/>
  <c r="AC11" i="80"/>
  <c r="AD11" i="80" s="1"/>
  <c r="AC12" i="80"/>
  <c r="AD12" i="80" s="1"/>
  <c r="AC8" i="80"/>
  <c r="AD8" i="80" s="1"/>
  <c r="AC10" i="80"/>
  <c r="AD10" i="80" s="1"/>
  <c r="AC9" i="80"/>
  <c r="AD9" i="80" s="1"/>
  <c r="P9" i="78"/>
  <c r="Q9" i="78" s="1"/>
  <c r="AL9" i="78"/>
  <c r="AM9" i="78" s="1"/>
  <c r="AC9" i="78"/>
  <c r="AD9" i="78" s="1"/>
  <c r="C9" i="78" s="1"/>
  <c r="AC8" i="78"/>
  <c r="AD8" i="78" s="1"/>
  <c r="C8" i="78" s="1"/>
  <c r="C11" i="91" l="1"/>
  <c r="B9" i="78"/>
  <c r="D9" i="78" s="1"/>
  <c r="C13" i="91"/>
  <c r="C12" i="91"/>
  <c r="C10" i="91"/>
  <c r="C8" i="91"/>
  <c r="C9" i="91"/>
  <c r="C8" i="80"/>
  <c r="C9" i="80"/>
  <c r="C11" i="80"/>
  <c r="C10" i="80"/>
  <c r="C12" i="80"/>
  <c r="B8" i="78"/>
  <c r="D8" i="78" s="1"/>
  <c r="C12" i="86"/>
  <c r="C22" i="88"/>
  <c r="C14" i="88"/>
  <c r="C9" i="88"/>
  <c r="C15" i="88"/>
  <c r="C13" i="88"/>
  <c r="C18" i="86"/>
  <c r="C15" i="86"/>
  <c r="C8" i="86"/>
  <c r="C14" i="86"/>
  <c r="C17" i="86"/>
  <c r="C10" i="86"/>
  <c r="C9" i="86"/>
  <c r="C11" i="86"/>
  <c r="C13" i="86"/>
  <c r="C23" i="86"/>
  <c r="C20" i="86"/>
  <c r="C16" i="86"/>
  <c r="C9" i="85"/>
  <c r="C10" i="85"/>
  <c r="C8" i="85"/>
  <c r="C12" i="85"/>
  <c r="C11" i="85"/>
  <c r="C12" i="88"/>
  <c r="C10" i="88"/>
  <c r="C20" i="88"/>
  <c r="C8" i="88"/>
  <c r="C21" i="88"/>
  <c r="C18" i="88"/>
  <c r="C17" i="88"/>
  <c r="C11" i="88"/>
  <c r="C19" i="88"/>
  <c r="C14" i="87"/>
  <c r="C12" i="87"/>
  <c r="C13" i="87"/>
  <c r="C8" i="87"/>
  <c r="C9" i="87"/>
  <c r="C17" i="87"/>
  <c r="C11" i="87"/>
  <c r="C15" i="87"/>
  <c r="C10" i="87"/>
  <c r="C16" i="87"/>
  <c r="C8" i="90"/>
  <c r="C14" i="90"/>
  <c r="C16" i="90"/>
  <c r="C15" i="90"/>
  <c r="C9" i="90"/>
  <c r="C18" i="90"/>
  <c r="C11" i="90"/>
  <c r="C17" i="89"/>
  <c r="C19" i="89"/>
  <c r="C23" i="89"/>
  <c r="C13" i="89"/>
  <c r="C12" i="89"/>
  <c r="C16" i="89"/>
  <c r="C21" i="89"/>
  <c r="C24" i="89"/>
  <c r="C14" i="89"/>
  <c r="C18" i="89"/>
  <c r="C9" i="89"/>
  <c r="C11" i="89"/>
  <c r="C8" i="89"/>
  <c r="C15" i="89"/>
  <c r="C27" i="89"/>
  <c r="C26" i="89"/>
  <c r="C22" i="89"/>
  <c r="C25" i="89"/>
  <c r="C10" i="89"/>
  <c r="B10" i="91" l="1"/>
  <c r="D10" i="91" s="1"/>
  <c r="B13" i="91"/>
  <c r="D13" i="91" s="1"/>
  <c r="B9" i="91"/>
  <c r="D9" i="91" s="1"/>
  <c r="B8" i="91"/>
  <c r="D8" i="91" s="1"/>
  <c r="B11" i="91"/>
  <c r="D11" i="91" s="1"/>
  <c r="D12" i="91"/>
  <c r="B11" i="80"/>
  <c r="D11" i="80" s="1"/>
  <c r="B10" i="80"/>
  <c r="D10" i="80" s="1"/>
  <c r="B8" i="80"/>
  <c r="D8" i="80" s="1"/>
  <c r="D12" i="80"/>
  <c r="B9" i="80"/>
  <c r="D9" i="80" s="1"/>
  <c r="B13" i="86"/>
  <c r="D13" i="86" s="1"/>
  <c r="B14" i="86"/>
  <c r="D14" i="86" s="1"/>
  <c r="B15" i="86"/>
  <c r="D15" i="86" s="1"/>
  <c r="B21" i="86"/>
  <c r="D21" i="86" s="1"/>
  <c r="B20" i="86"/>
  <c r="D20" i="86" s="1"/>
  <c r="B11" i="86"/>
  <c r="D11" i="86" s="1"/>
  <c r="B17" i="86"/>
  <c r="D17" i="86" s="1"/>
  <c r="D16" i="86"/>
  <c r="B18" i="86"/>
  <c r="D18" i="86" s="1"/>
  <c r="B23" i="86"/>
  <c r="D23" i="86" s="1"/>
  <c r="B10" i="86"/>
  <c r="D10" i="86" s="1"/>
  <c r="B19" i="86"/>
  <c r="D19" i="86" s="1"/>
  <c r="B12" i="86"/>
  <c r="D12" i="86" s="1"/>
  <c r="B22" i="86"/>
  <c r="D22" i="86" s="1"/>
  <c r="B8" i="86"/>
  <c r="D8" i="86" s="1"/>
  <c r="B9" i="86"/>
  <c r="D9" i="86" s="1"/>
  <c r="B10" i="85"/>
  <c r="D10" i="85" s="1"/>
  <c r="B12" i="85"/>
  <c r="D12" i="85" s="1"/>
  <c r="B9" i="85"/>
  <c r="D9" i="85" s="1"/>
  <c r="B11" i="85"/>
  <c r="D11" i="85" s="1"/>
  <c r="B8" i="85"/>
  <c r="D8" i="85" s="1"/>
  <c r="B11" i="88"/>
  <c r="D11" i="88" s="1"/>
  <c r="B14" i="88"/>
  <c r="D14" i="88" s="1"/>
  <c r="B18" i="88"/>
  <c r="D18" i="88" s="1"/>
  <c r="B8" i="88"/>
  <c r="D8" i="88" s="1"/>
  <c r="B10" i="88"/>
  <c r="D10" i="88" s="1"/>
  <c r="B16" i="88"/>
  <c r="D16" i="88" s="1"/>
  <c r="B19" i="88"/>
  <c r="D19" i="88" s="1"/>
  <c r="B9" i="88"/>
  <c r="D9" i="88" s="1"/>
  <c r="B21" i="88"/>
  <c r="D21" i="88" s="1"/>
  <c r="B17" i="88"/>
  <c r="D17" i="88" s="1"/>
  <c r="B15" i="88"/>
  <c r="D15" i="88" s="1"/>
  <c r="B12" i="88"/>
  <c r="D12" i="88" s="1"/>
  <c r="B20" i="88"/>
  <c r="D20" i="88" s="1"/>
  <c r="B13" i="88"/>
  <c r="D13" i="88" s="1"/>
  <c r="B22" i="88"/>
  <c r="D22" i="88" s="1"/>
  <c r="D16" i="87"/>
  <c r="B10" i="87"/>
  <c r="D10" i="87" s="1"/>
  <c r="B9" i="87"/>
  <c r="D9" i="87" s="1"/>
  <c r="B12" i="87"/>
  <c r="D12" i="87" s="1"/>
  <c r="B15" i="87"/>
  <c r="D15" i="87" s="1"/>
  <c r="B17" i="87"/>
  <c r="D17" i="87" s="1"/>
  <c r="B8" i="87"/>
  <c r="D8" i="87" s="1"/>
  <c r="B13" i="87"/>
  <c r="D13" i="87" s="1"/>
  <c r="B11" i="87"/>
  <c r="D11" i="87" s="1"/>
  <c r="B14" i="87"/>
  <c r="D14" i="87" s="1"/>
  <c r="B18" i="90"/>
  <c r="D18" i="90" s="1"/>
  <c r="B12" i="90"/>
  <c r="D12" i="90" s="1"/>
  <c r="B15" i="90"/>
  <c r="D15" i="90" s="1"/>
  <c r="B9" i="90"/>
  <c r="D9" i="90" s="1"/>
  <c r="B17" i="90"/>
  <c r="D17" i="90" s="1"/>
  <c r="B8" i="90"/>
  <c r="D8" i="90" s="1"/>
  <c r="B11" i="90"/>
  <c r="D11" i="90" s="1"/>
  <c r="B16" i="90"/>
  <c r="D16" i="90" s="1"/>
  <c r="B13" i="90"/>
  <c r="D13" i="90" s="1"/>
  <c r="B10" i="90"/>
  <c r="D10" i="90" s="1"/>
  <c r="B14" i="90"/>
  <c r="D14" i="90" s="1"/>
  <c r="B12" i="89"/>
  <c r="D12" i="89" s="1"/>
  <c r="B8" i="89"/>
  <c r="D8" i="89" s="1"/>
  <c r="B14" i="89"/>
  <c r="D14" i="89" s="1"/>
  <c r="B22" i="89"/>
  <c r="D22" i="89" s="1"/>
  <c r="B9" i="89"/>
  <c r="D9" i="89" s="1"/>
  <c r="D20" i="89"/>
  <c r="B13" i="89"/>
  <c r="D13" i="89" s="1"/>
  <c r="B11" i="89"/>
  <c r="D11" i="89" s="1"/>
  <c r="B18" i="89"/>
  <c r="D18" i="89" s="1"/>
  <c r="B24" i="89"/>
  <c r="D24" i="89" s="1"/>
  <c r="B27" i="89"/>
  <c r="D27" i="89" s="1"/>
  <c r="B26" i="89"/>
  <c r="D26" i="89" s="1"/>
  <c r="B15" i="89"/>
  <c r="D15" i="89" s="1"/>
  <c r="D23" i="89"/>
  <c r="D19" i="89"/>
  <c r="B28" i="89"/>
  <c r="D28" i="89" s="1"/>
  <c r="B17" i="89"/>
  <c r="D17" i="89" s="1"/>
  <c r="B10" i="89"/>
  <c r="D10" i="89" s="1"/>
  <c r="B25" i="89"/>
  <c r="D25" i="89" s="1"/>
  <c r="B21" i="89"/>
  <c r="D21" i="89" s="1"/>
  <c r="D16" i="89"/>
</calcChain>
</file>

<file path=xl/sharedStrings.xml><?xml version="1.0" encoding="utf-8"?>
<sst xmlns="http://schemas.openxmlformats.org/spreadsheetml/2006/main" count="572" uniqueCount="169">
  <si>
    <t>100-бальная система</t>
  </si>
  <si>
    <t>50-бальная система</t>
  </si>
  <si>
    <t>место</t>
  </si>
  <si>
    <t>баллы</t>
  </si>
  <si>
    <t>Итоговый результат</t>
  </si>
  <si>
    <t>Задание 3
100 баллов</t>
  </si>
  <si>
    <t>Итоговое место</t>
  </si>
  <si>
    <t>Сумма баллов</t>
  </si>
  <si>
    <t>ФИО</t>
  </si>
  <si>
    <t>Мин</t>
  </si>
  <si>
    <t>Сек</t>
  </si>
  <si>
    <t>Время</t>
  </si>
  <si>
    <t>Место</t>
  </si>
  <si>
    <t>Баллы</t>
  </si>
  <si>
    <t>Повторения</t>
  </si>
  <si>
    <t>Штраф</t>
  </si>
  <si>
    <t>Задание 1
100 баллов</t>
  </si>
  <si>
    <t>Рейтинг</t>
  </si>
  <si>
    <t>ID</t>
  </si>
  <si>
    <t>Задание 2
100 баллов</t>
  </si>
  <si>
    <t>16 минут</t>
  </si>
  <si>
    <t>8 минут</t>
  </si>
  <si>
    <t>12 минут</t>
  </si>
  <si>
    <t>9 минут</t>
  </si>
  <si>
    <t>Регион</t>
  </si>
  <si>
    <t>Тоннаж</t>
  </si>
  <si>
    <t>Команда</t>
  </si>
  <si>
    <t>Задание 1.1
100 баллов</t>
  </si>
  <si>
    <t>Задание 1.2
100 баллов</t>
  </si>
  <si>
    <t>Женщины</t>
  </si>
  <si>
    <t>Вес</t>
  </si>
  <si>
    <t>10 минут</t>
  </si>
  <si>
    <t>11 минут</t>
  </si>
  <si>
    <t>Мужчины</t>
  </si>
  <si>
    <t>4 минуты</t>
  </si>
  <si>
    <t>Задание 3.1
100 баллов</t>
  </si>
  <si>
    <t>Задание 3.2
100 баллов</t>
  </si>
  <si>
    <t>Любители МЖ</t>
  </si>
  <si>
    <t>Любители ММ</t>
  </si>
  <si>
    <t>35-44 ММ</t>
  </si>
  <si>
    <t>45+ ММ</t>
  </si>
  <si>
    <t>Новички МЖ</t>
  </si>
  <si>
    <t>13 минут</t>
  </si>
  <si>
    <t>Новички ММ</t>
  </si>
  <si>
    <t>Четверки
МММЖ</t>
  </si>
  <si>
    <t>15 минут</t>
  </si>
  <si>
    <t>20 минут</t>
  </si>
  <si>
    <t>22 минут</t>
  </si>
  <si>
    <t>Капибары</t>
  </si>
  <si>
    <t>Москва</t>
  </si>
  <si>
    <t>Брауни</t>
  </si>
  <si>
    <t>Только познакомились</t>
  </si>
  <si>
    <t>Штангерина и Берпислав</t>
  </si>
  <si>
    <t>Зеленоград</t>
  </si>
  <si>
    <t>На спорте</t>
  </si>
  <si>
    <t>Красногорск</t>
  </si>
  <si>
    <t>Ослик ИА</t>
  </si>
  <si>
    <t>Балашиха</t>
  </si>
  <si>
    <t>Малыш и Карлсон</t>
  </si>
  <si>
    <t>Солнечногорск</t>
  </si>
  <si>
    <t>Слабоумие и отвага</t>
  </si>
  <si>
    <t>Вика и мешок</t>
  </si>
  <si>
    <t>Дай пять</t>
  </si>
  <si>
    <t>«Гром в раю»</t>
  </si>
  <si>
    <t>Чебоксары</t>
  </si>
  <si>
    <t>1+1</t>
  </si>
  <si>
    <t>Одинцово</t>
  </si>
  <si>
    <t>Семёновы</t>
  </si>
  <si>
    <t>Лед 9</t>
  </si>
  <si>
    <t>SelfMade Team</t>
  </si>
  <si>
    <t>Бригада из Северного Голливуда</t>
  </si>
  <si>
    <t>Беспризорники</t>
  </si>
  <si>
    <t>Команда Гулливера</t>
  </si>
  <si>
    <t>Они думали,будет весело!</t>
  </si>
  <si>
    <t>DreamTeam</t>
  </si>
  <si>
    <t>Альфа-академия Self Made</t>
  </si>
  <si>
    <t>Brutality Team</t>
  </si>
  <si>
    <t>Брянск</t>
  </si>
  <si>
    <t>Руза</t>
  </si>
  <si>
    <t>Бразерс</t>
  </si>
  <si>
    <t>Королёв</t>
  </si>
  <si>
    <t>С Характером</t>
  </si>
  <si>
    <t>Курск</t>
  </si>
  <si>
    <t>Агенты V8</t>
  </si>
  <si>
    <t>37.1</t>
  </si>
  <si>
    <t>Воронеж</t>
  </si>
  <si>
    <t>Шнуровкой наружу</t>
  </si>
  <si>
    <t>Точке невозврата</t>
  </si>
  <si>
    <t>Air Star</t>
  </si>
  <si>
    <t>122team</t>
  </si>
  <si>
    <t>Шакшука SEYM</t>
  </si>
  <si>
    <t>Отвар из капибар</t>
  </si>
  <si>
    <t>Всегда с "улыбкой"</t>
  </si>
  <si>
    <t>Team Seym Rota</t>
  </si>
  <si>
    <t>Орехово-Зуево</t>
  </si>
  <si>
    <t>IceBox Team</t>
  </si>
  <si>
    <t>Free Band</t>
  </si>
  <si>
    <t>Два топора</t>
  </si>
  <si>
    <t>Вомбаты</t>
  </si>
  <si>
    <t>Санкт-Петербург</t>
  </si>
  <si>
    <t>BORODASPORT</t>
  </si>
  <si>
    <t>Ноу нейм</t>
  </si>
  <si>
    <t>Сыктывкар</t>
  </si>
  <si>
    <t>Голландский штурвал</t>
  </si>
  <si>
    <t>Всем Сейм</t>
  </si>
  <si>
    <t>G9Team</t>
  </si>
  <si>
    <t>Тигры</t>
  </si>
  <si>
    <t>Старый Оскол</t>
  </si>
  <si>
    <t>Люди, лишенные сна</t>
  </si>
  <si>
    <t>Kozlov team</t>
  </si>
  <si>
    <t>Липецк</t>
  </si>
  <si>
    <t>Чемпики</t>
  </si>
  <si>
    <t>Go Hard V8</t>
  </si>
  <si>
    <t>Notbroken tem</t>
  </si>
  <si>
    <t>Королев</t>
  </si>
  <si>
    <t>Шура</t>
  </si>
  <si>
    <t>Курск / Нижний Новгород</t>
  </si>
  <si>
    <t>V8 Сенеж</t>
  </si>
  <si>
    <t>6.04</t>
  </si>
  <si>
    <t>За всю хурму!</t>
  </si>
  <si>
    <t>2А</t>
  </si>
  <si>
    <t>Штраф 100 берпи</t>
  </si>
  <si>
    <t>Химки</t>
  </si>
  <si>
    <t>Алимова Любовь</t>
  </si>
  <si>
    <t>Красовская Татьяна</t>
  </si>
  <si>
    <t>Рыкова Наталия</t>
  </si>
  <si>
    <t>Крюкова Ангелина</t>
  </si>
  <si>
    <t>Владимир</t>
  </si>
  <si>
    <t>Кочнева Ольга</t>
  </si>
  <si>
    <t>Бояркин Илья</t>
  </si>
  <si>
    <t>Подольск</t>
  </si>
  <si>
    <t>Закабуня Иван</t>
  </si>
  <si>
    <t>Зимин Артём</t>
  </si>
  <si>
    <t>Электросталь</t>
  </si>
  <si>
    <t>Смолин Андрей</t>
  </si>
  <si>
    <t>Дубинин Александр</t>
  </si>
  <si>
    <t>Климин Сергей</t>
  </si>
  <si>
    <t>Опёнок Виктор</t>
  </si>
  <si>
    <t>Азов</t>
  </si>
  <si>
    <t>Иванцов Евгений</t>
  </si>
  <si>
    <t>Зеленцов Артём</t>
  </si>
  <si>
    <t>Нижний Новгород</t>
  </si>
  <si>
    <t>Петросян Давид</t>
  </si>
  <si>
    <t>Лопухов Иван</t>
  </si>
  <si>
    <t>Герасимов Дмитрий</t>
  </si>
  <si>
    <t>Гулиев Назим</t>
  </si>
  <si>
    <t>Ганин Андрей</t>
  </si>
  <si>
    <t>Балаев Эдуард</t>
  </si>
  <si>
    <t>Ликино-Дулево</t>
  </si>
  <si>
    <t>Семёнов Семён</t>
  </si>
  <si>
    <t>Filippova`s chickens</t>
  </si>
  <si>
    <t>Неудержимые</t>
  </si>
  <si>
    <t>Владимир / Орел</t>
  </si>
  <si>
    <t>Изо всех сил</t>
  </si>
  <si>
    <t>V8 Power</t>
  </si>
  <si>
    <t>БРАТЬЯ ШИРШОВЫ</t>
  </si>
  <si>
    <t>DavidTeam</t>
  </si>
  <si>
    <t>Белгород / Москва</t>
  </si>
  <si>
    <t>Олегофренды</t>
  </si>
  <si>
    <t>С Ранчо</t>
  </si>
  <si>
    <t>TerFit</t>
  </si>
  <si>
    <t>Стволок за поясок</t>
  </si>
  <si>
    <t>Шуйхэм Фридом</t>
  </si>
  <si>
    <t>Шуя / Кострома</t>
  </si>
  <si>
    <t>ШтангаБэнд "Еле собрали"</t>
  </si>
  <si>
    <t>Ст.Оскол-Москва</t>
  </si>
  <si>
    <t>Старый Оскол / Москва</t>
  </si>
  <si>
    <t>Бункер 110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</si>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</sst>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rgb="FF000000"/>
      <name val="Calibri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name val="Calibri"/>
      <family val="2"/>
      <charset val="204"/>
    </font>
    <font>
      <sz val="11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theme="0" tint="-4.9989318521683403E-2"/>
        <bgColor rgb="FFF2F2F2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4"/>
  </cellStyleXfs>
  <cellXfs count="30">
    <xf numFmtId="0" fontId="0" fillId="0" borderId="0" xfId="0"/>
    <xf numFmtId="0" fontId="0" fillId="3" borderId="3" xfId="0" applyFill="1" applyBorder="1"/>
    <xf numFmtId="0" fontId="0" fillId="4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3" fillId="8" borderId="5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3" fillId="8" borderId="5" xfId="0" applyFont="1" applyFill="1" applyBorder="1" applyAlignment="1">
      <alignment horizontal="center" vertical="center" wrapText="1"/>
    </xf>
    <xf numFmtId="49" fontId="5" fillId="0" borderId="5" xfId="0" applyNumberFormat="1" applyFont="1" applyBorder="1"/>
    <xf numFmtId="0" fontId="5" fillId="0" borderId="5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workbookViewId="0">
      <selection activeCell="R12" sqref="R12"/>
    </sheetView>
  </sheetViews>
  <sheetFormatPr defaultColWidth="14.42578125" defaultRowHeight="15" customHeight="1" x14ac:dyDescent="0.25"/>
  <cols>
    <col min="1" max="2" width="8.7109375" customWidth="1"/>
    <col min="3" max="3" width="1.42578125" customWidth="1"/>
    <col min="4" max="11" width="8.7109375" customWidth="1"/>
  </cols>
  <sheetData>
    <row r="1" spans="1:5" x14ac:dyDescent="0.25">
      <c r="A1" s="22" t="s">
        <v>0</v>
      </c>
      <c r="B1" s="23"/>
      <c r="C1" s="1"/>
      <c r="D1" s="22" t="s">
        <v>1</v>
      </c>
      <c r="E1" s="23"/>
    </row>
    <row r="2" spans="1:5" x14ac:dyDescent="0.25">
      <c r="A2" s="2" t="s">
        <v>2</v>
      </c>
      <c r="B2" s="2" t="s">
        <v>3</v>
      </c>
      <c r="C2" s="1"/>
      <c r="D2" s="2" t="s">
        <v>2</v>
      </c>
      <c r="E2" s="2" t="s">
        <v>3</v>
      </c>
    </row>
    <row r="3" spans="1:5" x14ac:dyDescent="0.25">
      <c r="A3" s="3">
        <v>1</v>
      </c>
      <c r="B3" s="3">
        <v>100</v>
      </c>
      <c r="C3" s="1"/>
      <c r="D3" s="3">
        <v>1</v>
      </c>
      <c r="E3" s="3">
        <v>50</v>
      </c>
    </row>
    <row r="4" spans="1:5" x14ac:dyDescent="0.25">
      <c r="A4" s="3">
        <v>2</v>
      </c>
      <c r="B4" s="3">
        <v>95</v>
      </c>
      <c r="C4" s="1"/>
      <c r="D4" s="3">
        <v>2</v>
      </c>
      <c r="E4" s="3">
        <v>48</v>
      </c>
    </row>
    <row r="5" spans="1:5" x14ac:dyDescent="0.25">
      <c r="A5" s="3">
        <v>3</v>
      </c>
      <c r="B5" s="3">
        <v>90</v>
      </c>
      <c r="C5" s="1"/>
      <c r="D5" s="3">
        <v>3</v>
      </c>
      <c r="E5" s="3">
        <v>46</v>
      </c>
    </row>
    <row r="6" spans="1:5" x14ac:dyDescent="0.25">
      <c r="A6" s="3">
        <v>4</v>
      </c>
      <c r="B6" s="3">
        <v>85</v>
      </c>
      <c r="C6" s="1"/>
      <c r="D6" s="3">
        <v>4</v>
      </c>
      <c r="E6" s="3">
        <v>44</v>
      </c>
    </row>
    <row r="7" spans="1:5" x14ac:dyDescent="0.25">
      <c r="A7" s="3">
        <v>5</v>
      </c>
      <c r="B7" s="3">
        <v>80</v>
      </c>
      <c r="C7" s="1"/>
      <c r="D7" s="3">
        <v>5</v>
      </c>
      <c r="E7" s="3">
        <v>42</v>
      </c>
    </row>
    <row r="8" spans="1:5" x14ac:dyDescent="0.25">
      <c r="A8" s="3">
        <v>6</v>
      </c>
      <c r="B8" s="3">
        <v>75</v>
      </c>
      <c r="C8" s="1"/>
      <c r="D8" s="3">
        <v>6</v>
      </c>
      <c r="E8" s="3">
        <v>41</v>
      </c>
    </row>
    <row r="9" spans="1:5" x14ac:dyDescent="0.25">
      <c r="A9" s="3">
        <v>7</v>
      </c>
      <c r="B9" s="3">
        <v>73</v>
      </c>
      <c r="C9" s="1"/>
      <c r="D9" s="3">
        <v>7</v>
      </c>
      <c r="E9" s="3">
        <v>40</v>
      </c>
    </row>
    <row r="10" spans="1:5" x14ac:dyDescent="0.25">
      <c r="A10" s="3">
        <v>8</v>
      </c>
      <c r="B10" s="3">
        <v>71</v>
      </c>
      <c r="C10" s="1"/>
      <c r="D10" s="3">
        <v>8</v>
      </c>
      <c r="E10" s="3">
        <v>39</v>
      </c>
    </row>
    <row r="11" spans="1:5" x14ac:dyDescent="0.25">
      <c r="A11" s="3">
        <v>9</v>
      </c>
      <c r="B11" s="3">
        <v>69</v>
      </c>
      <c r="C11" s="1"/>
      <c r="D11" s="3">
        <v>9</v>
      </c>
      <c r="E11" s="3">
        <v>38</v>
      </c>
    </row>
    <row r="12" spans="1:5" x14ac:dyDescent="0.25">
      <c r="A12" s="3">
        <v>10</v>
      </c>
      <c r="B12" s="3">
        <v>67</v>
      </c>
      <c r="C12" s="1"/>
      <c r="D12" s="3">
        <v>10</v>
      </c>
      <c r="E12" s="3">
        <v>37</v>
      </c>
    </row>
    <row r="13" spans="1:5" x14ac:dyDescent="0.25">
      <c r="A13" s="3">
        <v>11</v>
      </c>
      <c r="B13" s="3">
        <v>65</v>
      </c>
      <c r="C13" s="1"/>
      <c r="D13" s="3">
        <v>11</v>
      </c>
      <c r="E13" s="3">
        <v>36</v>
      </c>
    </row>
    <row r="14" spans="1:5" x14ac:dyDescent="0.25">
      <c r="A14" s="3">
        <v>12</v>
      </c>
      <c r="B14" s="3">
        <v>63</v>
      </c>
      <c r="C14" s="1"/>
      <c r="D14" s="3">
        <v>12</v>
      </c>
      <c r="E14" s="3">
        <v>35</v>
      </c>
    </row>
    <row r="15" spans="1:5" x14ac:dyDescent="0.25">
      <c r="A15" s="3">
        <v>13</v>
      </c>
      <c r="B15" s="3">
        <v>61</v>
      </c>
      <c r="C15" s="1"/>
      <c r="D15" s="3">
        <v>13</v>
      </c>
      <c r="E15" s="3">
        <v>34</v>
      </c>
    </row>
    <row r="16" spans="1:5" x14ac:dyDescent="0.25">
      <c r="A16" s="3">
        <v>14</v>
      </c>
      <c r="B16" s="3">
        <v>59</v>
      </c>
      <c r="C16" s="1"/>
      <c r="D16" s="3">
        <v>14</v>
      </c>
      <c r="E16" s="3">
        <v>33</v>
      </c>
    </row>
    <row r="17" spans="1:5" x14ac:dyDescent="0.25">
      <c r="A17" s="3">
        <v>15</v>
      </c>
      <c r="B17" s="3">
        <v>57</v>
      </c>
      <c r="C17" s="1"/>
      <c r="D17" s="3">
        <v>15</v>
      </c>
      <c r="E17" s="3">
        <v>32</v>
      </c>
    </row>
    <row r="18" spans="1:5" x14ac:dyDescent="0.25">
      <c r="A18" s="3">
        <v>16</v>
      </c>
      <c r="B18" s="3">
        <v>55</v>
      </c>
      <c r="C18" s="1"/>
      <c r="D18" s="3">
        <v>16</v>
      </c>
      <c r="E18" s="3">
        <v>31</v>
      </c>
    </row>
    <row r="19" spans="1:5" x14ac:dyDescent="0.25">
      <c r="A19" s="3">
        <v>17</v>
      </c>
      <c r="B19" s="3">
        <v>53</v>
      </c>
      <c r="C19" s="1"/>
      <c r="D19" s="3">
        <v>17</v>
      </c>
      <c r="E19" s="3">
        <v>30</v>
      </c>
    </row>
    <row r="20" spans="1:5" x14ac:dyDescent="0.25">
      <c r="A20" s="3">
        <v>18</v>
      </c>
      <c r="B20" s="3">
        <v>51</v>
      </c>
      <c r="C20" s="1"/>
      <c r="D20" s="3">
        <v>18</v>
      </c>
      <c r="E20" s="3">
        <v>29</v>
      </c>
    </row>
    <row r="21" spans="1:5" ht="15.75" customHeight="1" x14ac:dyDescent="0.25">
      <c r="A21" s="3">
        <v>19</v>
      </c>
      <c r="B21" s="3">
        <v>49</v>
      </c>
      <c r="C21" s="1"/>
      <c r="D21" s="3">
        <v>19</v>
      </c>
      <c r="E21" s="3">
        <v>28</v>
      </c>
    </row>
    <row r="22" spans="1:5" ht="15.75" customHeight="1" x14ac:dyDescent="0.25">
      <c r="A22" s="3">
        <v>20</v>
      </c>
      <c r="B22" s="3">
        <v>47</v>
      </c>
      <c r="C22" s="1"/>
      <c r="D22" s="3">
        <v>20</v>
      </c>
      <c r="E22" s="3">
        <v>27</v>
      </c>
    </row>
    <row r="23" spans="1:5" ht="15.75" customHeight="1" x14ac:dyDescent="0.25">
      <c r="A23" s="3">
        <v>21</v>
      </c>
      <c r="B23" s="3">
        <v>45</v>
      </c>
      <c r="C23" s="1"/>
      <c r="D23" s="3">
        <v>21</v>
      </c>
      <c r="E23" s="3">
        <v>26</v>
      </c>
    </row>
    <row r="24" spans="1:5" ht="15.75" customHeight="1" x14ac:dyDescent="0.25">
      <c r="A24" s="3">
        <v>22</v>
      </c>
      <c r="B24" s="3">
        <v>43</v>
      </c>
      <c r="C24" s="1"/>
      <c r="D24" s="3">
        <v>22</v>
      </c>
      <c r="E24" s="3">
        <v>25</v>
      </c>
    </row>
    <row r="25" spans="1:5" ht="15.75" customHeight="1" x14ac:dyDescent="0.25">
      <c r="A25" s="3">
        <v>23</v>
      </c>
      <c r="B25" s="3">
        <v>41</v>
      </c>
      <c r="C25" s="1"/>
      <c r="D25" s="3">
        <v>23</v>
      </c>
      <c r="E25" s="3">
        <v>24</v>
      </c>
    </row>
    <row r="26" spans="1:5" ht="15.75" customHeight="1" x14ac:dyDescent="0.25">
      <c r="A26" s="3">
        <v>24</v>
      </c>
      <c r="B26" s="3">
        <v>39</v>
      </c>
      <c r="C26" s="1"/>
      <c r="D26" s="3">
        <v>24</v>
      </c>
      <c r="E26" s="3">
        <v>23</v>
      </c>
    </row>
    <row r="27" spans="1:5" ht="15.75" customHeight="1" x14ac:dyDescent="0.25">
      <c r="A27" s="3">
        <v>25</v>
      </c>
      <c r="B27" s="3">
        <v>37</v>
      </c>
      <c r="C27" s="1"/>
      <c r="D27" s="3">
        <v>25</v>
      </c>
      <c r="E27" s="3">
        <v>22</v>
      </c>
    </row>
    <row r="28" spans="1:5" ht="15.75" customHeight="1" x14ac:dyDescent="0.25">
      <c r="A28" s="3">
        <v>26</v>
      </c>
      <c r="B28" s="3">
        <v>35</v>
      </c>
      <c r="C28" s="1"/>
      <c r="D28" s="3">
        <v>26</v>
      </c>
      <c r="E28" s="3">
        <v>21</v>
      </c>
    </row>
    <row r="29" spans="1:5" ht="15.75" customHeight="1" x14ac:dyDescent="0.25">
      <c r="A29" s="3">
        <v>27</v>
      </c>
      <c r="B29" s="3">
        <v>33</v>
      </c>
      <c r="C29" s="1"/>
      <c r="D29" s="3">
        <v>27</v>
      </c>
      <c r="E29" s="3">
        <v>20</v>
      </c>
    </row>
    <row r="30" spans="1:5" ht="15.75" customHeight="1" x14ac:dyDescent="0.25">
      <c r="A30" s="3">
        <v>28</v>
      </c>
      <c r="B30" s="3">
        <v>31</v>
      </c>
      <c r="C30" s="1"/>
      <c r="D30" s="3">
        <v>28</v>
      </c>
      <c r="E30" s="3">
        <v>19</v>
      </c>
    </row>
    <row r="31" spans="1:5" ht="15.75" customHeight="1" x14ac:dyDescent="0.25">
      <c r="A31" s="3">
        <v>29</v>
      </c>
      <c r="B31" s="3">
        <v>29</v>
      </c>
      <c r="C31" s="1"/>
      <c r="D31" s="3">
        <v>29</v>
      </c>
      <c r="E31" s="3">
        <v>18</v>
      </c>
    </row>
    <row r="32" spans="1:5" ht="15.75" customHeight="1" x14ac:dyDescent="0.25">
      <c r="A32" s="3">
        <v>30</v>
      </c>
      <c r="B32" s="3">
        <v>27</v>
      </c>
      <c r="C32" s="1"/>
      <c r="D32" s="3">
        <v>30</v>
      </c>
      <c r="E32" s="3">
        <v>17</v>
      </c>
    </row>
    <row r="33" spans="1:5" ht="15.75" customHeight="1" x14ac:dyDescent="0.25">
      <c r="A33" s="3">
        <v>31</v>
      </c>
      <c r="B33" s="3">
        <v>26</v>
      </c>
      <c r="C33" s="1"/>
      <c r="D33" s="3">
        <v>31</v>
      </c>
      <c r="E33" s="3">
        <v>16</v>
      </c>
    </row>
    <row r="34" spans="1:5" ht="15.75" customHeight="1" x14ac:dyDescent="0.25">
      <c r="A34" s="3">
        <v>32</v>
      </c>
      <c r="B34" s="3">
        <v>25</v>
      </c>
      <c r="C34" s="1"/>
      <c r="D34" s="3">
        <v>32</v>
      </c>
      <c r="E34" s="3">
        <v>15</v>
      </c>
    </row>
    <row r="35" spans="1:5" ht="15.75" customHeight="1" x14ac:dyDescent="0.25">
      <c r="A35" s="3">
        <v>33</v>
      </c>
      <c r="B35" s="3">
        <v>24</v>
      </c>
      <c r="C35" s="1"/>
      <c r="D35" s="3">
        <v>33</v>
      </c>
      <c r="E35" s="3">
        <v>14</v>
      </c>
    </row>
    <row r="36" spans="1:5" ht="15.75" customHeight="1" x14ac:dyDescent="0.25">
      <c r="A36" s="3">
        <v>34</v>
      </c>
      <c r="B36" s="3">
        <v>23</v>
      </c>
      <c r="C36" s="1"/>
      <c r="D36" s="3">
        <v>34</v>
      </c>
      <c r="E36" s="3">
        <v>13</v>
      </c>
    </row>
    <row r="37" spans="1:5" ht="15.75" customHeight="1" x14ac:dyDescent="0.25">
      <c r="A37" s="3">
        <v>35</v>
      </c>
      <c r="B37" s="3">
        <v>22</v>
      </c>
      <c r="C37" s="1"/>
      <c r="D37" s="3">
        <v>35</v>
      </c>
      <c r="E37" s="3">
        <v>12</v>
      </c>
    </row>
    <row r="38" spans="1:5" ht="15.75" customHeight="1" x14ac:dyDescent="0.25">
      <c r="A38" s="3">
        <v>36</v>
      </c>
      <c r="B38" s="3">
        <v>21</v>
      </c>
      <c r="C38" s="1"/>
      <c r="D38" s="3">
        <v>36</v>
      </c>
      <c r="E38" s="3">
        <v>11</v>
      </c>
    </row>
    <row r="39" spans="1:5" ht="15.75" customHeight="1" x14ac:dyDescent="0.25">
      <c r="A39" s="3">
        <v>37</v>
      </c>
      <c r="B39" s="3">
        <v>20</v>
      </c>
      <c r="C39" s="1"/>
      <c r="D39" s="3">
        <v>37</v>
      </c>
      <c r="E39" s="3">
        <v>10</v>
      </c>
    </row>
    <row r="40" spans="1:5" ht="15.75" customHeight="1" x14ac:dyDescent="0.25">
      <c r="A40" s="3">
        <v>38</v>
      </c>
      <c r="B40" s="3">
        <v>19</v>
      </c>
      <c r="C40" s="1"/>
      <c r="D40" s="3">
        <v>38</v>
      </c>
      <c r="E40" s="3">
        <v>9</v>
      </c>
    </row>
    <row r="41" spans="1:5" ht="15.75" customHeight="1" x14ac:dyDescent="0.25">
      <c r="A41" s="3">
        <v>39</v>
      </c>
      <c r="B41" s="3">
        <v>18</v>
      </c>
      <c r="C41" s="1"/>
      <c r="D41" s="3">
        <v>39</v>
      </c>
      <c r="E41" s="3">
        <v>8</v>
      </c>
    </row>
    <row r="42" spans="1:5" ht="15.75" customHeight="1" x14ac:dyDescent="0.25">
      <c r="A42" s="3">
        <v>40</v>
      </c>
      <c r="B42" s="3">
        <v>17</v>
      </c>
      <c r="C42" s="1"/>
      <c r="D42" s="3">
        <v>40</v>
      </c>
      <c r="E42" s="3">
        <v>7</v>
      </c>
    </row>
    <row r="43" spans="1:5" ht="15.75" customHeight="1" x14ac:dyDescent="0.25">
      <c r="A43" s="3">
        <v>41</v>
      </c>
      <c r="B43" s="3">
        <v>16</v>
      </c>
      <c r="C43" s="1"/>
    </row>
    <row r="44" spans="1:5" ht="15.75" customHeight="1" x14ac:dyDescent="0.25">
      <c r="A44" s="3">
        <v>42</v>
      </c>
      <c r="B44" s="3">
        <v>15</v>
      </c>
      <c r="C44" s="1"/>
    </row>
    <row r="45" spans="1:5" ht="15.75" customHeight="1" x14ac:dyDescent="0.25">
      <c r="A45" s="3">
        <v>43</v>
      </c>
      <c r="B45" s="3">
        <v>14</v>
      </c>
      <c r="C45" s="1"/>
    </row>
    <row r="46" spans="1:5" ht="15.75" customHeight="1" x14ac:dyDescent="0.25">
      <c r="A46" s="3">
        <v>44</v>
      </c>
      <c r="B46" s="3">
        <v>13</v>
      </c>
      <c r="C46" s="1"/>
    </row>
    <row r="47" spans="1:5" ht="15.75" customHeight="1" x14ac:dyDescent="0.25">
      <c r="A47" s="3">
        <v>45</v>
      </c>
      <c r="B47" s="3">
        <v>12</v>
      </c>
      <c r="C47" s="1"/>
    </row>
    <row r="48" spans="1:5" ht="15.75" customHeight="1" x14ac:dyDescent="0.25">
      <c r="A48" s="3">
        <v>46</v>
      </c>
      <c r="B48" s="3">
        <v>11</v>
      </c>
      <c r="C48" s="1"/>
    </row>
    <row r="49" spans="1:3" ht="15.75" customHeight="1" x14ac:dyDescent="0.25">
      <c r="A49" s="3">
        <v>47</v>
      </c>
      <c r="B49" s="3">
        <v>10</v>
      </c>
      <c r="C49" s="1"/>
    </row>
    <row r="50" spans="1:3" ht="15.75" customHeight="1" x14ac:dyDescent="0.25">
      <c r="A50" s="3">
        <v>48</v>
      </c>
      <c r="B50" s="3">
        <v>9</v>
      </c>
      <c r="C50" s="1"/>
    </row>
    <row r="51" spans="1:3" ht="15.75" customHeight="1" x14ac:dyDescent="0.25">
      <c r="A51" s="3">
        <v>49</v>
      </c>
      <c r="B51" s="3">
        <v>8</v>
      </c>
      <c r="C51" s="1"/>
    </row>
    <row r="52" spans="1:3" ht="15.75" customHeight="1" x14ac:dyDescent="0.25">
      <c r="A52" s="3">
        <v>50</v>
      </c>
      <c r="B52" s="3">
        <v>7</v>
      </c>
      <c r="C52" s="1"/>
    </row>
    <row r="53" spans="1:3" ht="15.75" customHeight="1" x14ac:dyDescent="0.25">
      <c r="A53" s="3">
        <v>51</v>
      </c>
      <c r="B53" s="3">
        <v>6</v>
      </c>
      <c r="C53" s="1"/>
    </row>
    <row r="54" spans="1:3" ht="15.75" customHeight="1" x14ac:dyDescent="0.25">
      <c r="A54" s="3">
        <v>52</v>
      </c>
      <c r="B54" s="3">
        <v>5</v>
      </c>
      <c r="C54" s="1"/>
    </row>
    <row r="55" spans="1:3" ht="15.75" customHeight="1" x14ac:dyDescent="0.25">
      <c r="A55" s="3">
        <v>53</v>
      </c>
      <c r="B55" s="3">
        <v>4</v>
      </c>
      <c r="C55" s="1"/>
    </row>
    <row r="56" spans="1:3" ht="15.75" customHeight="1" x14ac:dyDescent="0.25">
      <c r="A56" s="3">
        <v>54</v>
      </c>
      <c r="B56" s="3">
        <v>3</v>
      </c>
      <c r="C56" s="1"/>
    </row>
    <row r="57" spans="1:3" ht="15.75" customHeight="1" x14ac:dyDescent="0.25">
      <c r="A57" s="3">
        <v>55</v>
      </c>
      <c r="B57" s="3">
        <v>2</v>
      </c>
      <c r="C57" s="1"/>
    </row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A1:B1"/>
    <mergeCell ref="D1:E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991C-E8A4-4B23-8D4F-E5991A417F45}">
  <sheetPr>
    <pageSetUpPr fitToPage="1"/>
  </sheetPr>
  <dimension ref="B1:AI44"/>
  <sheetViews>
    <sheetView zoomScaleNormal="100" workbookViewId="0">
      <selection activeCell="AJ8" sqref="AJ8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26" bestFit="1" customWidth="1"/>
    <col min="7" max="7" width="15.4257812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hidden="1" customWidth="1" outlineLevel="1"/>
    <col min="13" max="13" width="6.85546875" customWidth="1" collapsed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5.140625" hidden="1" customWidth="1" outlineLevel="1"/>
    <col min="20" max="20" width="4.28515625" hidden="1" customWidth="1" outlineLevel="1"/>
    <col min="21" max="21" width="7.140625" customWidth="1" collapsed="1"/>
    <col min="22" max="22" width="6.85546875" customWidth="1"/>
    <col min="23" max="23" width="7.85546875" hidden="1" customWidth="1" outlineLevel="1"/>
    <col min="24" max="24" width="7.140625" hidden="1" customWidth="1" outlineLevel="1"/>
    <col min="25" max="25" width="7.140625" customWidth="1" collapsed="1"/>
    <col min="26" max="26" width="6.85546875" customWidth="1"/>
    <col min="27" max="27" width="1.42578125" customWidth="1"/>
    <col min="28" max="28" width="5.140625" hidden="1" customWidth="1" outlineLevel="1"/>
    <col min="29" max="29" width="4.28515625" hidden="1" customWidth="1" outlineLevel="1"/>
    <col min="30" max="30" width="7.140625" customWidth="1" collapsed="1"/>
    <col min="31" max="31" width="6.85546875" customWidth="1"/>
    <col min="32" max="32" width="7.85546875" hidden="1" customWidth="1" outlineLevel="1"/>
    <col min="33" max="33" width="7.140625" hidden="1" customWidth="1" outlineLevel="1"/>
    <col min="34" max="34" width="7.140625" customWidth="1" collapsed="1"/>
    <col min="35" max="35" width="6.85546875" customWidth="1"/>
  </cols>
  <sheetData>
    <row r="1" spans="2:35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3"/>
      <c r="V1" s="3"/>
      <c r="W1" s="3"/>
      <c r="X1" s="3"/>
      <c r="Y1" s="3"/>
      <c r="Z1" s="4">
        <v>1</v>
      </c>
      <c r="AB1" s="3"/>
      <c r="AC1" s="3"/>
      <c r="AD1" s="3"/>
      <c r="AE1" s="3"/>
      <c r="AF1" s="3"/>
      <c r="AG1" s="3"/>
      <c r="AH1" s="3"/>
      <c r="AI1" s="4">
        <v>1</v>
      </c>
    </row>
    <row r="2" spans="2:35" x14ac:dyDescent="0.25">
      <c r="F2" s="12"/>
      <c r="G2" s="12"/>
      <c r="H2" s="12"/>
      <c r="J2" s="3"/>
      <c r="K2" s="3"/>
      <c r="L2" s="3"/>
      <c r="M2" s="5">
        <f>4*(60+40+20)</f>
        <v>480</v>
      </c>
      <c r="N2" s="3"/>
      <c r="O2" s="3"/>
      <c r="P2" s="3"/>
      <c r="Q2" s="3"/>
      <c r="S2" s="3"/>
      <c r="T2" s="3"/>
      <c r="U2" s="3"/>
      <c r="V2" s="5">
        <f>50+50+60+60+50+50+50+50+50+50</f>
        <v>520</v>
      </c>
      <c r="W2" s="3"/>
      <c r="X2" s="3"/>
      <c r="Y2" s="3"/>
      <c r="Z2" s="3"/>
      <c r="AB2" s="3"/>
      <c r="AC2" s="3"/>
      <c r="AD2" s="3"/>
      <c r="AE2" s="5">
        <f>4*(8+10+5+1+5+4+5+1+5)</f>
        <v>176</v>
      </c>
      <c r="AF2" s="3"/>
      <c r="AG2" s="3"/>
      <c r="AH2" s="3"/>
      <c r="AI2" s="3"/>
    </row>
    <row r="3" spans="2:35" x14ac:dyDescent="0.25">
      <c r="F3" s="12"/>
      <c r="G3" s="12"/>
      <c r="H3" s="12"/>
      <c r="J3" s="3"/>
      <c r="K3" s="3"/>
      <c r="L3" s="3"/>
      <c r="M3" s="6" t="s">
        <v>45</v>
      </c>
      <c r="N3" s="3"/>
      <c r="O3" s="3"/>
      <c r="P3" s="3"/>
      <c r="Q3" s="3"/>
      <c r="S3" s="3"/>
      <c r="T3" s="3"/>
      <c r="U3" s="3"/>
      <c r="V3" s="6" t="s">
        <v>46</v>
      </c>
      <c r="W3" s="3"/>
      <c r="X3" s="3"/>
      <c r="Y3" s="3"/>
      <c r="Z3" s="3"/>
      <c r="AB3" s="3"/>
      <c r="AC3" s="3"/>
      <c r="AD3" s="3"/>
      <c r="AE3" s="6" t="s">
        <v>47</v>
      </c>
      <c r="AF3" s="3"/>
      <c r="AG3" s="3"/>
      <c r="AH3" s="3"/>
      <c r="AI3" s="3"/>
    </row>
    <row r="4" spans="2:35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E4" s="3"/>
      <c r="AF4" s="3"/>
      <c r="AG4" s="3"/>
      <c r="AH4" s="3"/>
      <c r="AI4" s="3"/>
    </row>
    <row r="5" spans="2:35" ht="15" customHeight="1" x14ac:dyDescent="0.25">
      <c r="B5" s="24" t="s">
        <v>4</v>
      </c>
      <c r="C5" s="25"/>
      <c r="D5" s="26"/>
      <c r="E5" s="7"/>
      <c r="F5" s="24" t="s">
        <v>44</v>
      </c>
      <c r="G5" s="25"/>
      <c r="H5" s="26"/>
      <c r="I5" s="7"/>
      <c r="J5" s="24" t="s">
        <v>16</v>
      </c>
      <c r="K5" s="25"/>
      <c r="L5" s="25"/>
      <c r="M5" s="25"/>
      <c r="N5" s="25"/>
      <c r="O5" s="25"/>
      <c r="P5" s="25"/>
      <c r="Q5" s="26"/>
      <c r="R5" s="7"/>
      <c r="S5" s="24" t="s">
        <v>19</v>
      </c>
      <c r="T5" s="25"/>
      <c r="U5" s="25"/>
      <c r="V5" s="25"/>
      <c r="W5" s="25"/>
      <c r="X5" s="25"/>
      <c r="Y5" s="25"/>
      <c r="Z5" s="26"/>
      <c r="AA5" s="7"/>
      <c r="AB5" s="24" t="s">
        <v>5</v>
      </c>
      <c r="AC5" s="25"/>
      <c r="AD5" s="25"/>
      <c r="AE5" s="25"/>
      <c r="AF5" s="25"/>
      <c r="AG5" s="25"/>
      <c r="AH5" s="25"/>
      <c r="AI5" s="26"/>
    </row>
    <row r="6" spans="2:35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7"/>
      <c r="T6" s="28"/>
      <c r="U6" s="28"/>
      <c r="V6" s="28"/>
      <c r="W6" s="28"/>
      <c r="X6" s="28"/>
      <c r="Y6" s="28"/>
      <c r="Z6" s="29"/>
      <c r="AA6" s="8"/>
      <c r="AB6" s="27"/>
      <c r="AC6" s="28"/>
      <c r="AD6" s="28"/>
      <c r="AE6" s="28"/>
      <c r="AF6" s="28"/>
      <c r="AG6" s="28"/>
      <c r="AH6" s="28"/>
      <c r="AI6" s="29"/>
    </row>
    <row r="7" spans="2:35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1" t="s">
        <v>9</v>
      </c>
      <c r="T7" s="11" t="s">
        <v>10</v>
      </c>
      <c r="U7" s="11" t="s">
        <v>11</v>
      </c>
      <c r="V7" s="16" t="s">
        <v>14</v>
      </c>
      <c r="W7" s="11" t="s">
        <v>15</v>
      </c>
      <c r="X7" s="11" t="s">
        <v>11</v>
      </c>
      <c r="Y7" s="11" t="s">
        <v>12</v>
      </c>
      <c r="Z7" s="11" t="s">
        <v>13</v>
      </c>
      <c r="AA7" s="9"/>
      <c r="AB7" s="11" t="s">
        <v>9</v>
      </c>
      <c r="AC7" s="11" t="s">
        <v>10</v>
      </c>
      <c r="AD7" s="11" t="s">
        <v>11</v>
      </c>
      <c r="AE7" s="16" t="s">
        <v>14</v>
      </c>
      <c r="AF7" s="11" t="s">
        <v>15</v>
      </c>
      <c r="AG7" s="11" t="s">
        <v>11</v>
      </c>
      <c r="AH7" s="11" t="s">
        <v>12</v>
      </c>
      <c r="AI7" s="11" t="s">
        <v>13</v>
      </c>
    </row>
    <row r="8" spans="2:35" x14ac:dyDescent="0.25">
      <c r="B8" s="7">
        <f>RANK(C8,C$8:C$13,0)</f>
        <v>1</v>
      </c>
      <c r="C8" s="7">
        <f t="shared" ref="C8:C13" si="0">SUMIF($I$1:$AI$1,1,$I8:$AI8)</f>
        <v>295</v>
      </c>
      <c r="D8" s="7">
        <f>VLOOKUP(B8,'Место-баллы'!$A$3:$E$52,5,0)</f>
        <v>50</v>
      </c>
      <c r="E8" s="10"/>
      <c r="F8" s="10" t="s">
        <v>160</v>
      </c>
      <c r="G8" s="10" t="s">
        <v>49</v>
      </c>
      <c r="H8" s="15"/>
      <c r="I8" s="10"/>
      <c r="J8" s="7">
        <v>15</v>
      </c>
      <c r="K8" s="7">
        <v>5</v>
      </c>
      <c r="L8" s="13">
        <f t="shared" ref="L8:L13" si="1">TIME(0,J8,K8)</f>
        <v>1.0474537037037037E-2</v>
      </c>
      <c r="M8" s="7">
        <f>360+47</f>
        <v>407</v>
      </c>
      <c r="N8" s="7">
        <f t="shared" ref="N8:N13" si="2">M$2-M8</f>
        <v>73</v>
      </c>
      <c r="O8" s="13">
        <f t="shared" ref="O8:O13" si="3">L8+TIME(0,0,N8)</f>
        <v>1.1319444444444444E-2</v>
      </c>
      <c r="P8" s="7">
        <f t="shared" ref="P8:P13" si="4">RANK(O8,O$8:O$13,1)</f>
        <v>2</v>
      </c>
      <c r="Q8" s="7">
        <f>VLOOKUP(P8,'Место-баллы'!$A$3:$E$52,2,0)</f>
        <v>95</v>
      </c>
      <c r="R8" s="10"/>
      <c r="S8" s="7">
        <v>17</v>
      </c>
      <c r="T8" s="7">
        <v>30</v>
      </c>
      <c r="U8" s="13">
        <f t="shared" ref="U8:U13" si="5">TIME(0,S8,T8)</f>
        <v>1.2152777777777778E-2</v>
      </c>
      <c r="V8" s="7">
        <f>100+100+50+100+120+50</f>
        <v>520</v>
      </c>
      <c r="W8" s="7">
        <f t="shared" ref="W8:W13" si="6">V$2-V8</f>
        <v>0</v>
      </c>
      <c r="X8" s="13">
        <f t="shared" ref="X8:X13" si="7">U8+TIME(0,0,W8)</f>
        <v>1.2152777777777778E-2</v>
      </c>
      <c r="Y8" s="7">
        <f t="shared" ref="Y8:Y13" si="8">RANK(X8,X$8:X$13,1)</f>
        <v>1</v>
      </c>
      <c r="Z8" s="7">
        <f>VLOOKUP(Y8,'Место-баллы'!$A$3:$E$52,2,0)</f>
        <v>100</v>
      </c>
      <c r="AA8" s="10"/>
      <c r="AB8" s="7">
        <v>16</v>
      </c>
      <c r="AC8" s="7">
        <v>59</v>
      </c>
      <c r="AD8" s="13">
        <f t="shared" ref="AD8:AD13" si="9">TIME(0,AB8,AC8)</f>
        <v>1.1793981481481482E-2</v>
      </c>
      <c r="AE8" s="7">
        <v>176</v>
      </c>
      <c r="AF8" s="7">
        <f t="shared" ref="AF8:AF13" si="10">AE$2-AE8</f>
        <v>0</v>
      </c>
      <c r="AG8" s="13">
        <f t="shared" ref="AG8:AG13" si="11">AD8+TIME(0,0,AF8)</f>
        <v>1.1793981481481482E-2</v>
      </c>
      <c r="AH8" s="7">
        <f t="shared" ref="AH8:AH13" si="12">RANK(AG8,AG$8:AG$13,1)</f>
        <v>1</v>
      </c>
      <c r="AI8" s="7">
        <f>VLOOKUP(AH8,'Место-баллы'!$A$3:$E$52,2,0)</f>
        <v>100</v>
      </c>
    </row>
    <row r="9" spans="2:35" x14ac:dyDescent="0.25">
      <c r="B9" s="7">
        <f>RANK(C9,C$8:C$13,0)</f>
        <v>2</v>
      </c>
      <c r="C9" s="7">
        <f t="shared" si="0"/>
        <v>290</v>
      </c>
      <c r="D9" s="7">
        <f>VLOOKUP(B9,'Место-баллы'!$A$3:$E$52,5,0)</f>
        <v>48</v>
      </c>
      <c r="E9" s="10"/>
      <c r="F9" s="10" t="s">
        <v>162</v>
      </c>
      <c r="G9" s="10" t="s">
        <v>163</v>
      </c>
      <c r="H9" s="15"/>
      <c r="I9" s="10"/>
      <c r="J9" s="7">
        <v>15</v>
      </c>
      <c r="K9" s="7">
        <v>5</v>
      </c>
      <c r="L9" s="13">
        <f t="shared" si="1"/>
        <v>1.0474537037037037E-2</v>
      </c>
      <c r="M9" s="7">
        <f>420+12</f>
        <v>432</v>
      </c>
      <c r="N9" s="7">
        <f t="shared" si="2"/>
        <v>48</v>
      </c>
      <c r="O9" s="13">
        <f t="shared" si="3"/>
        <v>1.1030092592592593E-2</v>
      </c>
      <c r="P9" s="7">
        <f t="shared" si="4"/>
        <v>1</v>
      </c>
      <c r="Q9" s="7">
        <f>VLOOKUP(P9,'Место-баллы'!$A$3:$E$52,2,0)</f>
        <v>100</v>
      </c>
      <c r="R9" s="10"/>
      <c r="S9" s="7">
        <v>19</v>
      </c>
      <c r="T9" s="7">
        <v>59</v>
      </c>
      <c r="U9" s="13">
        <f t="shared" si="5"/>
        <v>1.3877314814814815E-2</v>
      </c>
      <c r="V9" s="7">
        <v>520</v>
      </c>
      <c r="W9" s="7">
        <f t="shared" si="6"/>
        <v>0</v>
      </c>
      <c r="X9" s="13">
        <f t="shared" si="7"/>
        <v>1.3877314814814815E-2</v>
      </c>
      <c r="Y9" s="7">
        <f t="shared" si="8"/>
        <v>2</v>
      </c>
      <c r="Z9" s="7">
        <f>VLOOKUP(Y9,'Место-баллы'!$A$3:$E$52,2,0)</f>
        <v>95</v>
      </c>
      <c r="AA9" s="10"/>
      <c r="AB9" s="7">
        <v>17</v>
      </c>
      <c r="AC9" s="7">
        <v>22</v>
      </c>
      <c r="AD9" s="13">
        <f t="shared" si="9"/>
        <v>1.2060185185185186E-2</v>
      </c>
      <c r="AE9" s="7">
        <v>176</v>
      </c>
      <c r="AF9" s="7">
        <f t="shared" si="10"/>
        <v>0</v>
      </c>
      <c r="AG9" s="13">
        <f t="shared" si="11"/>
        <v>1.2060185185185186E-2</v>
      </c>
      <c r="AH9" s="7">
        <f t="shared" si="12"/>
        <v>2</v>
      </c>
      <c r="AI9" s="7">
        <f>VLOOKUP(AH9,'Место-баллы'!$A$3:$E$52,2,0)</f>
        <v>95</v>
      </c>
    </row>
    <row r="10" spans="2:35" x14ac:dyDescent="0.25">
      <c r="B10" s="7">
        <f>RANK(C10,C$8:C$13,0)</f>
        <v>3</v>
      </c>
      <c r="C10" s="7">
        <f t="shared" si="0"/>
        <v>260</v>
      </c>
      <c r="D10" s="7">
        <f>VLOOKUP(B10,'Место-баллы'!$A$3:$E$52,5,0)</f>
        <v>46</v>
      </c>
      <c r="E10" s="10"/>
      <c r="F10" s="10" t="s">
        <v>158</v>
      </c>
      <c r="G10" s="10" t="s">
        <v>49</v>
      </c>
      <c r="H10" s="15"/>
      <c r="I10" s="10"/>
      <c r="J10" s="7">
        <v>15</v>
      </c>
      <c r="K10" s="7">
        <v>5</v>
      </c>
      <c r="L10" s="13">
        <f t="shared" si="1"/>
        <v>1.0474537037037037E-2</v>
      </c>
      <c r="M10" s="7">
        <v>311</v>
      </c>
      <c r="N10" s="7">
        <f t="shared" si="2"/>
        <v>169</v>
      </c>
      <c r="O10" s="13">
        <f t="shared" si="3"/>
        <v>1.2430555555555556E-2</v>
      </c>
      <c r="P10" s="7">
        <f t="shared" si="4"/>
        <v>5</v>
      </c>
      <c r="Q10" s="7">
        <f>VLOOKUP(P10,'Место-баллы'!$A$3:$E$52,2,0)</f>
        <v>80</v>
      </c>
      <c r="R10" s="10"/>
      <c r="S10" s="7">
        <v>20</v>
      </c>
      <c r="T10" s="7">
        <v>5</v>
      </c>
      <c r="U10" s="13">
        <f t="shared" si="5"/>
        <v>1.3946759259259259E-2</v>
      </c>
      <c r="V10" s="7">
        <f>100+120+50+100+100+1</f>
        <v>471</v>
      </c>
      <c r="W10" s="7">
        <f t="shared" si="6"/>
        <v>49</v>
      </c>
      <c r="X10" s="13">
        <f t="shared" si="7"/>
        <v>1.4513888888888889E-2</v>
      </c>
      <c r="Y10" s="7">
        <f t="shared" si="8"/>
        <v>3</v>
      </c>
      <c r="Z10" s="7">
        <f>VLOOKUP(Y10,'Место-баллы'!$A$3:$E$52,2,0)</f>
        <v>90</v>
      </c>
      <c r="AA10" s="10"/>
      <c r="AB10" s="7">
        <v>20</v>
      </c>
      <c r="AC10" s="7">
        <v>42</v>
      </c>
      <c r="AD10" s="13">
        <f t="shared" si="9"/>
        <v>1.4375000000000001E-2</v>
      </c>
      <c r="AE10" s="7">
        <v>176</v>
      </c>
      <c r="AF10" s="7">
        <f t="shared" si="10"/>
        <v>0</v>
      </c>
      <c r="AG10" s="13">
        <f t="shared" si="11"/>
        <v>1.4375000000000001E-2</v>
      </c>
      <c r="AH10" s="7">
        <f t="shared" si="12"/>
        <v>3</v>
      </c>
      <c r="AI10" s="7">
        <f>VLOOKUP(AH10,'Место-баллы'!$A$3:$E$52,2,0)</f>
        <v>90</v>
      </c>
    </row>
    <row r="11" spans="2:35" x14ac:dyDescent="0.25">
      <c r="B11" s="7">
        <f>RANK(C11,C$8:C$13,0)</f>
        <v>4</v>
      </c>
      <c r="C11" s="7">
        <f t="shared" si="0"/>
        <v>245</v>
      </c>
      <c r="D11" s="7">
        <f>VLOOKUP(B11,'Место-баллы'!$A$3:$E$52,5,0)</f>
        <v>44</v>
      </c>
      <c r="E11" s="10"/>
      <c r="F11" s="10" t="s">
        <v>164</v>
      </c>
      <c r="G11" s="10" t="s">
        <v>49</v>
      </c>
      <c r="H11" s="15"/>
      <c r="I11" s="10"/>
      <c r="J11" s="7">
        <v>15</v>
      </c>
      <c r="K11" s="7">
        <v>5</v>
      </c>
      <c r="L11" s="13">
        <f t="shared" si="1"/>
        <v>1.0474537037037037E-2</v>
      </c>
      <c r="M11" s="7">
        <v>331</v>
      </c>
      <c r="N11" s="7">
        <f t="shared" si="2"/>
        <v>149</v>
      </c>
      <c r="O11" s="13">
        <f t="shared" si="3"/>
        <v>1.2199074074074074E-2</v>
      </c>
      <c r="P11" s="7">
        <f t="shared" si="4"/>
        <v>3</v>
      </c>
      <c r="Q11" s="7">
        <f>VLOOKUP(P11,'Место-баллы'!$A$3:$E$52,2,0)</f>
        <v>90</v>
      </c>
      <c r="R11" s="10"/>
      <c r="S11" s="7">
        <v>20</v>
      </c>
      <c r="T11" s="7">
        <v>5</v>
      </c>
      <c r="U11" s="13">
        <f t="shared" si="5"/>
        <v>1.3946759259259259E-2</v>
      </c>
      <c r="V11" s="7">
        <f>100+120+50+100+39</f>
        <v>409</v>
      </c>
      <c r="W11" s="7">
        <f t="shared" si="6"/>
        <v>111</v>
      </c>
      <c r="X11" s="13">
        <f t="shared" si="7"/>
        <v>1.5231481481481481E-2</v>
      </c>
      <c r="Y11" s="7">
        <f t="shared" si="8"/>
        <v>5</v>
      </c>
      <c r="Z11" s="7">
        <f>VLOOKUP(Y11,'Место-баллы'!$A$3:$E$52,2,0)</f>
        <v>80</v>
      </c>
      <c r="AA11" s="10"/>
      <c r="AB11" s="7">
        <v>22</v>
      </c>
      <c r="AC11" s="7">
        <v>5</v>
      </c>
      <c r="AD11" s="13">
        <f t="shared" si="9"/>
        <v>1.5335648148148149E-2</v>
      </c>
      <c r="AE11" s="7">
        <f>3*(8+10+11+4+11)+5</f>
        <v>137</v>
      </c>
      <c r="AF11" s="7">
        <f t="shared" si="10"/>
        <v>39</v>
      </c>
      <c r="AG11" s="13">
        <f t="shared" si="11"/>
        <v>1.5787037037037037E-2</v>
      </c>
      <c r="AH11" s="7">
        <f t="shared" si="12"/>
        <v>6</v>
      </c>
      <c r="AI11" s="7">
        <f>VLOOKUP(AH11,'Место-баллы'!$A$3:$E$52,2,0)</f>
        <v>75</v>
      </c>
    </row>
    <row r="12" spans="2:35" x14ac:dyDescent="0.25">
      <c r="B12" s="7">
        <v>5</v>
      </c>
      <c r="C12" s="7">
        <f t="shared" si="0"/>
        <v>245</v>
      </c>
      <c r="D12" s="7">
        <f>VLOOKUP(B12,'Место-баллы'!$A$3:$E$52,5,0)</f>
        <v>42</v>
      </c>
      <c r="E12" s="10"/>
      <c r="F12" s="10" t="s">
        <v>159</v>
      </c>
      <c r="G12" s="10" t="s">
        <v>49</v>
      </c>
      <c r="H12" s="15"/>
      <c r="I12" s="10"/>
      <c r="J12" s="7">
        <v>15</v>
      </c>
      <c r="K12" s="7">
        <v>5</v>
      </c>
      <c r="L12" s="13">
        <f t="shared" si="1"/>
        <v>1.0474537037037037E-2</v>
      </c>
      <c r="M12" s="7">
        <v>319</v>
      </c>
      <c r="N12" s="7">
        <f t="shared" si="2"/>
        <v>161</v>
      </c>
      <c r="O12" s="13">
        <f t="shared" si="3"/>
        <v>1.2337962962962964E-2</v>
      </c>
      <c r="P12" s="7">
        <f t="shared" si="4"/>
        <v>4</v>
      </c>
      <c r="Q12" s="7">
        <f>VLOOKUP(P12,'Место-баллы'!$A$3:$E$52,2,0)</f>
        <v>85</v>
      </c>
      <c r="R12" s="10"/>
      <c r="S12" s="7">
        <v>20</v>
      </c>
      <c r="T12" s="7">
        <v>5</v>
      </c>
      <c r="U12" s="13">
        <f t="shared" si="5"/>
        <v>1.3946759259259259E-2</v>
      </c>
      <c r="V12" s="7">
        <f>100+100+22+100+42</f>
        <v>364</v>
      </c>
      <c r="W12" s="7">
        <f t="shared" si="6"/>
        <v>156</v>
      </c>
      <c r="X12" s="13">
        <f t="shared" si="7"/>
        <v>1.5752314814814816E-2</v>
      </c>
      <c r="Y12" s="7">
        <f t="shared" si="8"/>
        <v>6</v>
      </c>
      <c r="Z12" s="7">
        <f>VLOOKUP(Y12,'Место-баллы'!$A$3:$E$52,2,0)</f>
        <v>75</v>
      </c>
      <c r="AA12" s="10"/>
      <c r="AB12" s="7">
        <v>22</v>
      </c>
      <c r="AC12" s="7">
        <v>5</v>
      </c>
      <c r="AD12" s="13">
        <f t="shared" si="9"/>
        <v>1.5335648148148149E-2</v>
      </c>
      <c r="AE12" s="7">
        <f>3*(18+11+4+11)+18+2</f>
        <v>152</v>
      </c>
      <c r="AF12" s="7">
        <f t="shared" si="10"/>
        <v>24</v>
      </c>
      <c r="AG12" s="13">
        <f t="shared" si="11"/>
        <v>1.5613425925925926E-2</v>
      </c>
      <c r="AH12" s="7">
        <f t="shared" si="12"/>
        <v>4</v>
      </c>
      <c r="AI12" s="7">
        <f>VLOOKUP(AH12,'Место-баллы'!$A$3:$E$52,2,0)</f>
        <v>85</v>
      </c>
    </row>
    <row r="13" spans="2:35" x14ac:dyDescent="0.25">
      <c r="B13" s="7">
        <f>RANK(C13,C$8:C$13,0)</f>
        <v>6</v>
      </c>
      <c r="C13" s="7">
        <f t="shared" si="0"/>
        <v>240</v>
      </c>
      <c r="D13" s="7">
        <f>VLOOKUP(B13,'Место-баллы'!$A$3:$E$52,5,0)</f>
        <v>41</v>
      </c>
      <c r="E13" s="10"/>
      <c r="F13" s="10" t="s">
        <v>161</v>
      </c>
      <c r="G13" s="10" t="s">
        <v>49</v>
      </c>
      <c r="H13" s="15"/>
      <c r="I13" s="10"/>
      <c r="J13" s="7">
        <v>15</v>
      </c>
      <c r="K13" s="7">
        <v>5</v>
      </c>
      <c r="L13" s="13">
        <f t="shared" si="1"/>
        <v>1.0474537037037037E-2</v>
      </c>
      <c r="M13" s="7">
        <v>300</v>
      </c>
      <c r="N13" s="7">
        <f t="shared" si="2"/>
        <v>180</v>
      </c>
      <c r="O13" s="13">
        <f t="shared" si="3"/>
        <v>1.255787037037037E-2</v>
      </c>
      <c r="P13" s="7">
        <f t="shared" si="4"/>
        <v>6</v>
      </c>
      <c r="Q13" s="7">
        <f>VLOOKUP(P13,'Место-баллы'!$A$3:$E$52,2,0)</f>
        <v>75</v>
      </c>
      <c r="R13" s="10"/>
      <c r="S13" s="7">
        <v>20</v>
      </c>
      <c r="T13" s="7">
        <v>5</v>
      </c>
      <c r="U13" s="13">
        <f t="shared" si="5"/>
        <v>1.3946759259259259E-2</v>
      </c>
      <c r="V13" s="7">
        <f>100+120+50+100+50+40</f>
        <v>460</v>
      </c>
      <c r="W13" s="7">
        <f t="shared" si="6"/>
        <v>60</v>
      </c>
      <c r="X13" s="13">
        <f t="shared" si="7"/>
        <v>1.4641203703703703E-2</v>
      </c>
      <c r="Y13" s="7">
        <f t="shared" si="8"/>
        <v>4</v>
      </c>
      <c r="Z13" s="7">
        <f>VLOOKUP(Y13,'Место-баллы'!$A$3:$E$52,2,0)</f>
        <v>85</v>
      </c>
      <c r="AA13" s="10"/>
      <c r="AB13" s="7">
        <v>22</v>
      </c>
      <c r="AC13" s="7">
        <v>5</v>
      </c>
      <c r="AD13" s="13">
        <f t="shared" si="9"/>
        <v>1.5335648148148149E-2</v>
      </c>
      <c r="AE13" s="7">
        <f>3*(8+10+11+4+11)+18</f>
        <v>150</v>
      </c>
      <c r="AF13" s="7">
        <f t="shared" si="10"/>
        <v>26</v>
      </c>
      <c r="AG13" s="13">
        <f t="shared" si="11"/>
        <v>1.5636574074074074E-2</v>
      </c>
      <c r="AH13" s="7">
        <f t="shared" si="12"/>
        <v>5</v>
      </c>
      <c r="AI13" s="7">
        <f>VLOOKUP(AH13,'Место-баллы'!$A$3:$E$52,2,0)</f>
        <v>80</v>
      </c>
    </row>
    <row r="14" spans="2:35" ht="15.75" customHeight="1" x14ac:dyDescent="0.25"/>
    <row r="15" spans="2:35" ht="15.75" customHeight="1" x14ac:dyDescent="0.25"/>
    <row r="16" spans="2:3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</sheetData>
  <autoFilter ref="B7:AI7" xr:uid="{7749991C-E8A4-4B23-8D4F-E5991A417F45}">
    <sortState xmlns:xlrd2="http://schemas.microsoft.com/office/spreadsheetml/2017/richdata2" ref="B8:AI13">
      <sortCondition ref="B7"/>
    </sortState>
  </autoFilter>
  <mergeCells count="5">
    <mergeCell ref="AB5:AI6"/>
    <mergeCell ref="B5:D6"/>
    <mergeCell ref="F5:H6"/>
    <mergeCell ref="J5:Q6"/>
    <mergeCell ref="S5:Z6"/>
  </mergeCells>
  <conditionalFormatting sqref="F8:F13">
    <cfRule type="duplicateValues" dxfId="0" priority="20"/>
  </conditionalFormatting>
  <printOptions horizontalCentered="1" verticalCentered="1"/>
  <pageMargins left="0" right="0" top="0" bottom="0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A9D1-98FC-473A-8CAD-8F5C3A5ABBD1}">
  <sheetPr>
    <pageSetUpPr fitToPage="1"/>
  </sheetPr>
  <dimension ref="B1:AN42"/>
  <sheetViews>
    <sheetView zoomScaleNormal="10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AN1" sqref="AN1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18.85546875" bestFit="1" customWidth="1"/>
    <col min="7" max="7" width="11.7109375" bestFit="1" customWidth="1"/>
    <col min="8" max="8" width="21" hidden="1" customWidth="1" outlineLevel="1"/>
    <col min="9" max="9" width="1.42578125" customWidth="1" collapsed="1"/>
    <col min="10" max="10" width="7.42578125" customWidth="1"/>
    <col min="11" max="11" width="7.140625" customWidth="1"/>
    <col min="12" max="12" width="6.85546875" customWidth="1"/>
    <col min="13" max="13" width="1.42578125" customWidth="1"/>
    <col min="14" max="14" width="7.42578125" customWidth="1"/>
    <col min="15" max="15" width="5.140625" hidden="1" customWidth="1" outlineLevel="1"/>
    <col min="16" max="16" width="4.28515625" hidden="1" customWidth="1" outlineLevel="1"/>
    <col min="17" max="17" width="7.140625" hidden="1" customWidth="1" outlineLevel="1"/>
    <col min="18" max="18" width="6.85546875" hidden="1" customWidth="1" outlineLevel="1"/>
    <col min="19" max="19" width="7.85546875" hidden="1" customWidth="1" outlineLevel="1"/>
    <col min="20" max="20" width="7.140625" hidden="1" customWidth="1" outlineLevel="1"/>
    <col min="21" max="21" width="7.140625" customWidth="1" collapsed="1"/>
    <col min="22" max="22" width="6.85546875" customWidth="1"/>
    <col min="23" max="23" width="1.42578125" customWidth="1"/>
    <col min="24" max="24" width="5.140625" hidden="1" customWidth="1" outlineLevel="1"/>
    <col min="25" max="25" width="4.28515625" hidden="1" customWidth="1" outlineLevel="1"/>
    <col min="26" max="26" width="7.140625" customWidth="1" collapsed="1"/>
    <col min="27" max="27" width="6.85546875" customWidth="1"/>
    <col min="28" max="28" width="7.85546875" hidden="1" customWidth="1" outlineLevel="1"/>
    <col min="29" max="29" width="7.140625" hidden="1" customWidth="1" outlineLevel="1"/>
    <col min="30" max="30" width="7.140625" customWidth="1" collapsed="1"/>
    <col min="31" max="31" width="6.85546875" customWidth="1"/>
    <col min="32" max="32" width="1.42578125" customWidth="1"/>
    <col min="33" max="33" width="5.140625" hidden="1" customWidth="1" outlineLevel="1"/>
    <col min="34" max="34" width="4.28515625" hidden="1" customWidth="1" outlineLevel="1"/>
    <col min="35" max="35" width="7.140625" hidden="1" customWidth="1" outlineLevel="1"/>
    <col min="36" max="36" width="6.85546875" customWidth="1" collapsed="1"/>
    <col min="37" max="37" width="7.85546875" hidden="1" customWidth="1" outlineLevel="1"/>
    <col min="38" max="38" width="7.140625" hidden="1" customWidth="1" outlineLevel="1"/>
    <col min="39" max="39" width="7.140625" customWidth="1" collapsed="1"/>
    <col min="40" max="40" width="6.85546875" customWidth="1"/>
  </cols>
  <sheetData>
    <row r="1" spans="2:40" x14ac:dyDescent="0.25">
      <c r="F1" s="12"/>
      <c r="G1" s="12"/>
      <c r="H1" s="12"/>
      <c r="J1" s="3"/>
      <c r="K1" s="3"/>
      <c r="L1" s="4">
        <v>1</v>
      </c>
      <c r="N1" s="3"/>
      <c r="O1" s="3"/>
      <c r="P1" s="3"/>
      <c r="Q1" s="3"/>
      <c r="R1" s="3"/>
      <c r="S1" s="3"/>
      <c r="T1" s="3"/>
      <c r="U1" s="3"/>
      <c r="V1" s="4">
        <v>1</v>
      </c>
      <c r="X1" s="3"/>
      <c r="Y1" s="3"/>
      <c r="Z1" s="3"/>
      <c r="AA1" s="3"/>
      <c r="AB1" s="3"/>
      <c r="AC1" s="3"/>
      <c r="AD1" s="3"/>
      <c r="AE1" s="4">
        <v>1</v>
      </c>
      <c r="AG1" s="3"/>
      <c r="AH1" s="3"/>
      <c r="AI1" s="3"/>
      <c r="AJ1" s="3"/>
      <c r="AK1" s="3"/>
      <c r="AL1" s="3"/>
      <c r="AM1" s="3"/>
      <c r="AN1" s="4">
        <v>1</v>
      </c>
    </row>
    <row r="2" spans="2:40" x14ac:dyDescent="0.25">
      <c r="F2" s="12"/>
      <c r="G2" s="12"/>
      <c r="H2" s="12"/>
      <c r="J2" s="3"/>
      <c r="K2" s="3"/>
      <c r="L2" s="3"/>
      <c r="N2" s="3"/>
      <c r="O2" s="3"/>
      <c r="P2" s="3"/>
      <c r="Q2" s="3"/>
      <c r="R2" s="5">
        <f>40+40+30</f>
        <v>110</v>
      </c>
      <c r="S2" s="3"/>
      <c r="T2" s="3"/>
      <c r="U2" s="3"/>
      <c r="V2" s="3"/>
      <c r="X2" s="3"/>
      <c r="Y2" s="3"/>
      <c r="Z2" s="3"/>
      <c r="AA2" s="5">
        <f>3+21*2+2+15*2+1+9*2</f>
        <v>96</v>
      </c>
      <c r="AB2" s="3"/>
      <c r="AC2" s="3"/>
      <c r="AD2" s="3"/>
      <c r="AE2" s="3"/>
      <c r="AG2" s="3"/>
      <c r="AH2" s="3"/>
      <c r="AI2" s="3"/>
      <c r="AJ2" s="5">
        <f>80+10+20+30+40+30+20+10+80</f>
        <v>320</v>
      </c>
      <c r="AK2" s="3"/>
      <c r="AL2" s="3"/>
      <c r="AM2" s="3"/>
      <c r="AN2" s="3"/>
    </row>
    <row r="3" spans="2:40" x14ac:dyDescent="0.25">
      <c r="F3" s="12"/>
      <c r="G3" s="12"/>
      <c r="H3" s="12"/>
      <c r="J3" s="6"/>
      <c r="K3" s="3"/>
      <c r="L3" s="3"/>
      <c r="N3" s="6"/>
      <c r="O3" s="3"/>
      <c r="P3" s="3"/>
      <c r="Q3" s="3"/>
      <c r="R3" s="6" t="s">
        <v>32</v>
      </c>
      <c r="S3" s="3"/>
      <c r="T3" s="3"/>
      <c r="U3" s="3"/>
      <c r="V3" s="3"/>
      <c r="X3" s="3"/>
      <c r="Y3" s="3"/>
      <c r="Z3" s="3"/>
      <c r="AA3" s="6" t="s">
        <v>31</v>
      </c>
      <c r="AB3" s="3"/>
      <c r="AC3" s="3"/>
      <c r="AD3" s="3"/>
      <c r="AE3" s="3"/>
      <c r="AG3" s="3"/>
      <c r="AH3" s="3"/>
      <c r="AI3" s="3"/>
      <c r="AJ3" s="6" t="s">
        <v>20</v>
      </c>
      <c r="AK3" s="3"/>
      <c r="AL3" s="3"/>
      <c r="AM3" s="3"/>
      <c r="AN3" s="3"/>
    </row>
    <row r="4" spans="2:40" x14ac:dyDescent="0.25">
      <c r="J4" s="3"/>
      <c r="K4" s="3"/>
      <c r="L4" s="3"/>
      <c r="N4" s="3"/>
      <c r="O4" s="3"/>
      <c r="P4" s="3"/>
      <c r="Q4" s="3"/>
      <c r="R4" s="3"/>
      <c r="S4" s="3"/>
      <c r="T4" s="3"/>
      <c r="U4" s="3"/>
      <c r="V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</row>
    <row r="5" spans="2:40" ht="15" customHeight="1" x14ac:dyDescent="0.25">
      <c r="B5" s="24" t="s">
        <v>4</v>
      </c>
      <c r="C5" s="25"/>
      <c r="D5" s="26"/>
      <c r="E5" s="7"/>
      <c r="F5" s="24" t="s">
        <v>29</v>
      </c>
      <c r="G5" s="25"/>
      <c r="H5" s="26"/>
      <c r="I5" s="7"/>
      <c r="J5" s="25" t="s">
        <v>27</v>
      </c>
      <c r="K5" s="25"/>
      <c r="L5" s="26"/>
      <c r="M5" s="7"/>
      <c r="N5" s="24" t="s">
        <v>28</v>
      </c>
      <c r="O5" s="25"/>
      <c r="P5" s="25"/>
      <c r="Q5" s="25"/>
      <c r="R5" s="25"/>
      <c r="S5" s="25"/>
      <c r="T5" s="25"/>
      <c r="U5" s="25"/>
      <c r="V5" s="26"/>
      <c r="W5" s="7"/>
      <c r="X5" s="24" t="s">
        <v>19</v>
      </c>
      <c r="Y5" s="25"/>
      <c r="Z5" s="25"/>
      <c r="AA5" s="25"/>
      <c r="AB5" s="25"/>
      <c r="AC5" s="25"/>
      <c r="AD5" s="25"/>
      <c r="AE5" s="26"/>
      <c r="AF5" s="7"/>
      <c r="AG5" s="24" t="s">
        <v>5</v>
      </c>
      <c r="AH5" s="25"/>
      <c r="AI5" s="25"/>
      <c r="AJ5" s="25"/>
      <c r="AK5" s="25"/>
      <c r="AL5" s="25"/>
      <c r="AM5" s="25"/>
      <c r="AN5" s="26"/>
    </row>
    <row r="6" spans="2:40" x14ac:dyDescent="0.25">
      <c r="B6" s="27"/>
      <c r="C6" s="28"/>
      <c r="D6" s="29"/>
      <c r="E6" s="8"/>
      <c r="F6" s="27"/>
      <c r="G6" s="28"/>
      <c r="H6" s="29"/>
      <c r="I6" s="8"/>
      <c r="J6" s="28"/>
      <c r="K6" s="28"/>
      <c r="L6" s="29"/>
      <c r="M6" s="8"/>
      <c r="N6" s="27"/>
      <c r="O6" s="28"/>
      <c r="P6" s="28"/>
      <c r="Q6" s="28"/>
      <c r="R6" s="28"/>
      <c r="S6" s="28"/>
      <c r="T6" s="28"/>
      <c r="U6" s="28"/>
      <c r="V6" s="29"/>
      <c r="W6" s="8"/>
      <c r="X6" s="27"/>
      <c r="Y6" s="28"/>
      <c r="Z6" s="28"/>
      <c r="AA6" s="28"/>
      <c r="AB6" s="28"/>
      <c r="AC6" s="28"/>
      <c r="AD6" s="28"/>
      <c r="AE6" s="29"/>
      <c r="AF6" s="8"/>
      <c r="AG6" s="27"/>
      <c r="AH6" s="28"/>
      <c r="AI6" s="28"/>
      <c r="AJ6" s="28"/>
      <c r="AK6" s="28"/>
      <c r="AL6" s="28"/>
      <c r="AM6" s="28"/>
      <c r="AN6" s="29"/>
    </row>
    <row r="7" spans="2:40" ht="25.5" x14ac:dyDescent="0.25">
      <c r="B7" s="16" t="s">
        <v>6</v>
      </c>
      <c r="C7" s="16" t="s">
        <v>7</v>
      </c>
      <c r="D7" s="11" t="s">
        <v>17</v>
      </c>
      <c r="E7" s="9"/>
      <c r="F7" s="14" t="s">
        <v>8</v>
      </c>
      <c r="G7" s="14" t="s">
        <v>24</v>
      </c>
      <c r="H7" s="14" t="s">
        <v>18</v>
      </c>
      <c r="I7" s="9"/>
      <c r="J7" s="16" t="s">
        <v>30</v>
      </c>
      <c r="K7" s="11" t="s">
        <v>12</v>
      </c>
      <c r="L7" s="11" t="s">
        <v>13</v>
      </c>
      <c r="M7" s="9"/>
      <c r="N7" s="16" t="s">
        <v>30</v>
      </c>
      <c r="O7" s="11" t="s">
        <v>9</v>
      </c>
      <c r="P7" s="11" t="s">
        <v>10</v>
      </c>
      <c r="Q7" s="11" t="s">
        <v>11</v>
      </c>
      <c r="R7" s="16" t="s">
        <v>14</v>
      </c>
      <c r="S7" s="11" t="s">
        <v>15</v>
      </c>
      <c r="T7" s="11" t="s">
        <v>11</v>
      </c>
      <c r="U7" s="11" t="s">
        <v>12</v>
      </c>
      <c r="V7" s="11" t="s">
        <v>13</v>
      </c>
      <c r="W7" s="9"/>
      <c r="X7" s="11" t="s">
        <v>9</v>
      </c>
      <c r="Y7" s="11" t="s">
        <v>10</v>
      </c>
      <c r="Z7" s="11" t="s">
        <v>11</v>
      </c>
      <c r="AA7" s="16" t="s">
        <v>14</v>
      </c>
      <c r="AB7" s="11" t="s">
        <v>15</v>
      </c>
      <c r="AC7" s="11" t="s">
        <v>11</v>
      </c>
      <c r="AD7" s="11" t="s">
        <v>12</v>
      </c>
      <c r="AE7" s="11" t="s">
        <v>13</v>
      </c>
      <c r="AF7" s="9"/>
      <c r="AG7" s="11" t="s">
        <v>9</v>
      </c>
      <c r="AH7" s="11" t="s">
        <v>10</v>
      </c>
      <c r="AI7" s="11" t="s">
        <v>11</v>
      </c>
      <c r="AJ7" s="16" t="s">
        <v>14</v>
      </c>
      <c r="AK7" s="11" t="s">
        <v>15</v>
      </c>
      <c r="AL7" s="11" t="s">
        <v>11</v>
      </c>
      <c r="AM7" s="11" t="s">
        <v>12</v>
      </c>
      <c r="AN7" s="11" t="s">
        <v>13</v>
      </c>
    </row>
    <row r="8" spans="2:40" x14ac:dyDescent="0.25">
      <c r="B8" s="7">
        <f>RANK(C8,C$8:C$12,0)</f>
        <v>1</v>
      </c>
      <c r="C8" s="7">
        <f>SUMIF($J$1:$AN$1,1,$J8:$AN8)</f>
        <v>390</v>
      </c>
      <c r="D8" s="7">
        <f>VLOOKUP(B8,'Место-баллы'!$A$3:$E$52,5,0)</f>
        <v>50</v>
      </c>
      <c r="E8" s="10"/>
      <c r="F8" s="10" t="s">
        <v>124</v>
      </c>
      <c r="G8" s="10" t="s">
        <v>49</v>
      </c>
      <c r="H8" s="15"/>
      <c r="I8" s="10"/>
      <c r="J8" s="7">
        <v>70</v>
      </c>
      <c r="K8" s="7">
        <f>RANK(J8,J$8:J$12,0)</f>
        <v>1</v>
      </c>
      <c r="L8" s="7">
        <f>VLOOKUP(K8,'Место-баллы'!$A$3:$E$52,2,0)</f>
        <v>100</v>
      </c>
      <c r="M8" s="10"/>
      <c r="N8" s="7">
        <v>85</v>
      </c>
      <c r="O8" s="7"/>
      <c r="P8" s="7"/>
      <c r="Q8" s="13">
        <f>TIME(0,O8,P8)</f>
        <v>0</v>
      </c>
      <c r="R8" s="7"/>
      <c r="S8" s="7">
        <f>R$2-R8</f>
        <v>110</v>
      </c>
      <c r="T8" s="13">
        <f>Q8+TIME(0,0,S8)</f>
        <v>1.2731481481481483E-3</v>
      </c>
      <c r="U8" s="7">
        <f>RANK(N8,N$8:N$12,0)</f>
        <v>1</v>
      </c>
      <c r="V8" s="7">
        <f>VLOOKUP(U8,'Место-баллы'!$A$3:$E$52,2,0)</f>
        <v>100</v>
      </c>
      <c r="W8" s="10"/>
      <c r="X8" s="7">
        <v>8</v>
      </c>
      <c r="Y8" s="7">
        <v>45</v>
      </c>
      <c r="Z8" s="13">
        <f>TIME(0,X8,Y8)</f>
        <v>6.076388888888889E-3</v>
      </c>
      <c r="AA8" s="7">
        <v>96</v>
      </c>
      <c r="AB8" s="7">
        <f>AA$2-AA8</f>
        <v>0</v>
      </c>
      <c r="AC8" s="13">
        <f>Z8+TIME(0,0,AB8)</f>
        <v>6.076388888888889E-3</v>
      </c>
      <c r="AD8" s="7">
        <f>RANK(AC8,AC$8:AC$12,1)</f>
        <v>2</v>
      </c>
      <c r="AE8" s="7">
        <f>VLOOKUP(AD8,'Место-баллы'!$A$3:$E$52,2,0)</f>
        <v>95</v>
      </c>
      <c r="AF8" s="10"/>
      <c r="AG8" s="7">
        <v>16</v>
      </c>
      <c r="AH8" s="7">
        <v>5</v>
      </c>
      <c r="AI8" s="13">
        <f>TIME(0,AG8,AH8)</f>
        <v>1.1168981481481481E-2</v>
      </c>
      <c r="AJ8" s="7">
        <v>216</v>
      </c>
      <c r="AK8" s="7">
        <f>AJ$2-AJ8</f>
        <v>104</v>
      </c>
      <c r="AL8" s="13">
        <f>AI8+TIME(0,0,AK8)</f>
        <v>1.2372685185185184E-2</v>
      </c>
      <c r="AM8" s="7">
        <f>RANK(AL8,AL$8:AL$12,1)</f>
        <v>2</v>
      </c>
      <c r="AN8" s="7">
        <f>VLOOKUP(AM8,'Место-баллы'!$A$3:$E$52,2,0)</f>
        <v>95</v>
      </c>
    </row>
    <row r="9" spans="2:40" x14ac:dyDescent="0.25">
      <c r="B9" s="7">
        <f>RANK(C9,C$8:C$12,0)</f>
        <v>2</v>
      </c>
      <c r="C9" s="7">
        <f>SUMIF($J$1:$AN$1,1,$J9:$AN9)</f>
        <v>385</v>
      </c>
      <c r="D9" s="7">
        <f>VLOOKUP(B9,'Место-баллы'!$A$3:$E$52,5,0)</f>
        <v>48</v>
      </c>
      <c r="E9" s="10"/>
      <c r="F9" s="10" t="s">
        <v>128</v>
      </c>
      <c r="G9" s="10" t="s">
        <v>49</v>
      </c>
      <c r="H9" s="15"/>
      <c r="I9" s="10"/>
      <c r="J9" s="7">
        <v>55</v>
      </c>
      <c r="K9" s="7">
        <f>RANK(J9,J$8:J$12,0)</f>
        <v>4</v>
      </c>
      <c r="L9" s="7">
        <f>VLOOKUP(K9,'Место-баллы'!$A$3:$E$52,2,0)</f>
        <v>85</v>
      </c>
      <c r="M9" s="10"/>
      <c r="N9" s="7">
        <v>85</v>
      </c>
      <c r="O9" s="7"/>
      <c r="P9" s="7"/>
      <c r="Q9" s="13">
        <f>TIME(0,O9,P9)</f>
        <v>0</v>
      </c>
      <c r="R9" s="7"/>
      <c r="S9" s="7">
        <f>R$2-R9</f>
        <v>110</v>
      </c>
      <c r="T9" s="13">
        <f>Q9+TIME(0,0,S9)</f>
        <v>1.2731481481481483E-3</v>
      </c>
      <c r="U9" s="7">
        <f>RANK(N9,N$8:N$12,0)</f>
        <v>1</v>
      </c>
      <c r="V9" s="7">
        <f>VLOOKUP(U9,'Место-баллы'!$A$3:$E$52,2,0)</f>
        <v>100</v>
      </c>
      <c r="W9" s="10"/>
      <c r="X9" s="7">
        <v>8</v>
      </c>
      <c r="Y9" s="7">
        <v>33</v>
      </c>
      <c r="Z9" s="13">
        <f>TIME(0,X9,Y9)</f>
        <v>5.9375000000000001E-3</v>
      </c>
      <c r="AA9" s="7">
        <v>96</v>
      </c>
      <c r="AB9" s="7">
        <f>AA$2-AA9</f>
        <v>0</v>
      </c>
      <c r="AC9" s="13">
        <f>Z9+TIME(0,0,AB9)</f>
        <v>5.9375000000000001E-3</v>
      </c>
      <c r="AD9" s="7">
        <f>RANK(AC9,AC$8:AC$12,1)</f>
        <v>1</v>
      </c>
      <c r="AE9" s="7">
        <f>VLOOKUP(AD9,'Место-баллы'!$A$3:$E$52,2,0)</f>
        <v>100</v>
      </c>
      <c r="AF9" s="10"/>
      <c r="AG9" s="7">
        <v>16</v>
      </c>
      <c r="AH9" s="7">
        <v>5</v>
      </c>
      <c r="AI9" s="13">
        <f>TIME(0,AG9,AH9)</f>
        <v>1.1168981481481481E-2</v>
      </c>
      <c r="AJ9" s="7">
        <v>234</v>
      </c>
      <c r="AK9" s="7">
        <f>AJ$2-AJ9</f>
        <v>86</v>
      </c>
      <c r="AL9" s="13">
        <f>AI9+TIME(0,0,AK9)</f>
        <v>1.2164351851851852E-2</v>
      </c>
      <c r="AM9" s="7">
        <f>RANK(AL9,AL$8:AL$12,1)</f>
        <v>1</v>
      </c>
      <c r="AN9" s="7">
        <f>VLOOKUP(AM9,'Место-баллы'!$A$3:$E$52,2,0)</f>
        <v>100</v>
      </c>
    </row>
    <row r="10" spans="2:40" x14ac:dyDescent="0.25">
      <c r="B10" s="7">
        <f>RANK(C10,C$8:C$12,0)</f>
        <v>3</v>
      </c>
      <c r="C10" s="7">
        <f>SUMIF($J$1:$AN$1,1,$J10:$AN10)</f>
        <v>365</v>
      </c>
      <c r="D10" s="7">
        <f>VLOOKUP(B10,'Место-баллы'!$A$3:$E$52,5,0)</f>
        <v>46</v>
      </c>
      <c r="E10" s="10"/>
      <c r="F10" s="10" t="s">
        <v>123</v>
      </c>
      <c r="G10" s="10" t="s">
        <v>49</v>
      </c>
      <c r="H10" s="15"/>
      <c r="I10" s="10"/>
      <c r="J10" s="7">
        <v>65</v>
      </c>
      <c r="K10" s="7">
        <f>RANK(J10,J$8:J$12,0)</f>
        <v>2</v>
      </c>
      <c r="L10" s="7">
        <f>VLOOKUP(K10,'Место-баллы'!$A$3:$E$52,2,0)</f>
        <v>95</v>
      </c>
      <c r="M10" s="10"/>
      <c r="N10" s="7">
        <v>85</v>
      </c>
      <c r="O10" s="7"/>
      <c r="P10" s="7"/>
      <c r="Q10" s="13">
        <f>TIME(0,O10,P10)</f>
        <v>0</v>
      </c>
      <c r="R10" s="7"/>
      <c r="S10" s="7">
        <f>R$2-R10</f>
        <v>110</v>
      </c>
      <c r="T10" s="13">
        <f>Q10+TIME(0,0,S10)</f>
        <v>1.2731481481481483E-3</v>
      </c>
      <c r="U10" s="7">
        <f>RANK(N10,N$8:N$12,0)</f>
        <v>1</v>
      </c>
      <c r="V10" s="7">
        <f>VLOOKUP(U10,'Место-баллы'!$A$3:$E$52,2,0)</f>
        <v>100</v>
      </c>
      <c r="W10" s="10"/>
      <c r="X10" s="7">
        <v>10</v>
      </c>
      <c r="Y10" s="7">
        <v>5</v>
      </c>
      <c r="Z10" s="13">
        <f>TIME(0,X10,Y10)</f>
        <v>7.0023148148148145E-3</v>
      </c>
      <c r="AA10" s="7">
        <f>78+7</f>
        <v>85</v>
      </c>
      <c r="AB10" s="7">
        <f>AA$2-AA10</f>
        <v>11</v>
      </c>
      <c r="AC10" s="13">
        <f>Z10+TIME(0,0,AB10)</f>
        <v>7.129629629629629E-3</v>
      </c>
      <c r="AD10" s="7">
        <f>RANK(AC10,AC$8:AC$12,1)</f>
        <v>4</v>
      </c>
      <c r="AE10" s="7">
        <f>VLOOKUP(AD10,'Место-баллы'!$A$3:$E$52,2,0)</f>
        <v>85</v>
      </c>
      <c r="AF10" s="10"/>
      <c r="AG10" s="7">
        <v>16</v>
      </c>
      <c r="AH10" s="7">
        <v>5</v>
      </c>
      <c r="AI10" s="13">
        <f>TIME(0,AG10,AH10)</f>
        <v>1.1168981481481481E-2</v>
      </c>
      <c r="AJ10" s="7">
        <v>196</v>
      </c>
      <c r="AK10" s="7">
        <f>AJ$2-AJ10</f>
        <v>124</v>
      </c>
      <c r="AL10" s="13">
        <f>AI10+TIME(0,0,AK10)</f>
        <v>1.2604166666666666E-2</v>
      </c>
      <c r="AM10" s="7">
        <f>RANK(AL10,AL$8:AL$12,1)</f>
        <v>4</v>
      </c>
      <c r="AN10" s="7">
        <f>VLOOKUP(AM10,'Место-баллы'!$A$3:$E$52,2,0)</f>
        <v>85</v>
      </c>
    </row>
    <row r="11" spans="2:40" x14ac:dyDescent="0.25">
      <c r="B11" s="7">
        <f>RANK(C11,C$8:C$12,0)</f>
        <v>4</v>
      </c>
      <c r="C11" s="7">
        <f>SUMIF($J$1:$AN$1,1,$J11:$AN11)</f>
        <v>355</v>
      </c>
      <c r="D11" s="7">
        <f>VLOOKUP(B11,'Место-баллы'!$A$3:$E$52,5,0)</f>
        <v>44</v>
      </c>
      <c r="E11" s="10"/>
      <c r="F11" s="10" t="s">
        <v>126</v>
      </c>
      <c r="G11" s="10" t="s">
        <v>127</v>
      </c>
      <c r="H11" s="15"/>
      <c r="I11" s="10"/>
      <c r="J11" s="7">
        <v>60</v>
      </c>
      <c r="K11" s="7">
        <f>RANK(J11,J$8:J$12,0)</f>
        <v>3</v>
      </c>
      <c r="L11" s="7">
        <f>VLOOKUP(K11,'Место-баллы'!$A$3:$E$52,2,0)</f>
        <v>90</v>
      </c>
      <c r="M11" s="10"/>
      <c r="N11" s="7">
        <v>75</v>
      </c>
      <c r="O11" s="7"/>
      <c r="P11" s="7"/>
      <c r="Q11" s="13">
        <f>TIME(0,O11,P11)</f>
        <v>0</v>
      </c>
      <c r="R11" s="7"/>
      <c r="S11" s="7">
        <f>R$2-R11</f>
        <v>110</v>
      </c>
      <c r="T11" s="13">
        <f>Q11+TIME(0,0,S11)</f>
        <v>1.2731481481481483E-3</v>
      </c>
      <c r="U11" s="7">
        <f>RANK(N11,N$8:N$12,0)</f>
        <v>4</v>
      </c>
      <c r="V11" s="7">
        <f>VLOOKUP(U11,'Место-баллы'!$A$3:$E$52,2,0)</f>
        <v>85</v>
      </c>
      <c r="W11" s="10"/>
      <c r="X11" s="7">
        <v>8</v>
      </c>
      <c r="Y11" s="7">
        <v>51</v>
      </c>
      <c r="Z11" s="13">
        <f>TIME(0,X11,Y11)</f>
        <v>6.145833333333333E-3</v>
      </c>
      <c r="AA11" s="7">
        <v>96</v>
      </c>
      <c r="AB11" s="7">
        <f>AA$2-AA11</f>
        <v>0</v>
      </c>
      <c r="AC11" s="13">
        <f>Z11+TIME(0,0,AB11)</f>
        <v>6.145833333333333E-3</v>
      </c>
      <c r="AD11" s="7">
        <f>RANK(AC11,AC$8:AC$12,1)</f>
        <v>3</v>
      </c>
      <c r="AE11" s="7">
        <f>VLOOKUP(AD11,'Место-баллы'!$A$3:$E$52,2,0)</f>
        <v>90</v>
      </c>
      <c r="AF11" s="10"/>
      <c r="AG11" s="7">
        <v>16</v>
      </c>
      <c r="AH11" s="7">
        <v>5</v>
      </c>
      <c r="AI11" s="13">
        <f>TIME(0,AG11,AH11)</f>
        <v>1.1168981481481481E-2</v>
      </c>
      <c r="AJ11" s="7">
        <v>210</v>
      </c>
      <c r="AK11" s="7">
        <f>AJ$2-AJ11</f>
        <v>110</v>
      </c>
      <c r="AL11" s="13">
        <f>AI11+TIME(0,0,AK11)</f>
        <v>1.2442129629629629E-2</v>
      </c>
      <c r="AM11" s="7">
        <f>RANK(AL11,AL$8:AL$12,1)</f>
        <v>3</v>
      </c>
      <c r="AN11" s="7">
        <f>VLOOKUP(AM11,'Место-баллы'!$A$3:$E$52,2,0)</f>
        <v>90</v>
      </c>
    </row>
    <row r="12" spans="2:40" x14ac:dyDescent="0.25">
      <c r="B12" s="7">
        <f>RANK(C12,C$8:C$12,0)</f>
        <v>5</v>
      </c>
      <c r="C12" s="7">
        <f>SUMIF($J$1:$AN$1,1,$J12:$AN12)</f>
        <v>320</v>
      </c>
      <c r="D12" s="7">
        <f>VLOOKUP(B12,'Место-баллы'!$A$3:$E$52,5,0)</f>
        <v>42</v>
      </c>
      <c r="E12" s="10"/>
      <c r="F12" s="10" t="s">
        <v>125</v>
      </c>
      <c r="G12" s="10" t="s">
        <v>49</v>
      </c>
      <c r="H12" s="15"/>
      <c r="I12" s="10"/>
      <c r="J12" s="7">
        <v>50</v>
      </c>
      <c r="K12" s="7">
        <f>RANK(J12,J$8:J$12,0)</f>
        <v>5</v>
      </c>
      <c r="L12" s="7">
        <f>VLOOKUP(K12,'Место-баллы'!$A$3:$E$52,2,0)</f>
        <v>80</v>
      </c>
      <c r="M12" s="10"/>
      <c r="N12" s="7">
        <v>67</v>
      </c>
      <c r="O12" s="7"/>
      <c r="P12" s="7"/>
      <c r="Q12" s="13">
        <f>TIME(0,O12,P12)</f>
        <v>0</v>
      </c>
      <c r="R12" s="7"/>
      <c r="S12" s="7">
        <f>R$2-R12</f>
        <v>110</v>
      </c>
      <c r="T12" s="13">
        <f>Q12+TIME(0,0,S12)</f>
        <v>1.2731481481481483E-3</v>
      </c>
      <c r="U12" s="7">
        <f>RANK(N12,N$8:N$12,0)</f>
        <v>5</v>
      </c>
      <c r="V12" s="7">
        <f>VLOOKUP(U12,'Место-баллы'!$A$3:$E$52,2,0)</f>
        <v>80</v>
      </c>
      <c r="W12" s="10"/>
      <c r="X12" s="7">
        <v>10</v>
      </c>
      <c r="Y12" s="7">
        <v>5</v>
      </c>
      <c r="Z12" s="13">
        <f>TIME(0,X12,Y12)</f>
        <v>7.0023148148148145E-3</v>
      </c>
      <c r="AA12" s="7">
        <v>79</v>
      </c>
      <c r="AB12" s="7">
        <f>AA$2-AA12</f>
        <v>17</v>
      </c>
      <c r="AC12" s="13">
        <f>Z12+TIME(0,0,AB12)</f>
        <v>7.1990740740740739E-3</v>
      </c>
      <c r="AD12" s="7">
        <f>RANK(AC12,AC$8:AC$12,1)</f>
        <v>5</v>
      </c>
      <c r="AE12" s="7">
        <f>VLOOKUP(AD12,'Место-баллы'!$A$3:$E$52,2,0)</f>
        <v>80</v>
      </c>
      <c r="AF12" s="10"/>
      <c r="AG12" s="7">
        <v>16</v>
      </c>
      <c r="AH12" s="7">
        <v>5</v>
      </c>
      <c r="AI12" s="13">
        <f>TIME(0,AG12,AH12)</f>
        <v>1.1168981481481481E-2</v>
      </c>
      <c r="AJ12" s="7">
        <v>131</v>
      </c>
      <c r="AK12" s="7">
        <f>AJ$2-AJ12</f>
        <v>189</v>
      </c>
      <c r="AL12" s="13">
        <f>AI12+TIME(0,0,AK12)</f>
        <v>1.3356481481481481E-2</v>
      </c>
      <c r="AM12" s="7">
        <f>RANK(AL12,AL$8:AL$12,1)</f>
        <v>5</v>
      </c>
      <c r="AN12" s="7">
        <f>VLOOKUP(AM12,'Место-баллы'!$A$3:$E$52,2,0)</f>
        <v>80</v>
      </c>
    </row>
    <row r="13" spans="2:40" ht="15.75" customHeight="1" x14ac:dyDescent="0.25"/>
    <row r="14" spans="2:40" ht="15.75" customHeight="1" x14ac:dyDescent="0.25"/>
    <row r="15" spans="2:40" ht="15.75" customHeight="1" x14ac:dyDescent="0.25"/>
    <row r="16" spans="2:4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</sheetData>
  <autoFilter ref="B7:AN7" xr:uid="{D529E903-D6D4-4953-98D9-990DFF2AE683}">
    <sortState xmlns:xlrd2="http://schemas.microsoft.com/office/spreadsheetml/2017/richdata2" ref="B8:AN12">
      <sortCondition ref="B7"/>
    </sortState>
  </autoFilter>
  <mergeCells count="6">
    <mergeCell ref="AG5:AN6"/>
    <mergeCell ref="J5:L6"/>
    <mergeCell ref="N5:V6"/>
    <mergeCell ref="B5:D6"/>
    <mergeCell ref="F5:H6"/>
    <mergeCell ref="X5:AE6"/>
  </mergeCells>
  <conditionalFormatting sqref="F8:F12">
    <cfRule type="duplicateValues" dxfId="9" priority="8"/>
  </conditionalFormatting>
  <printOptions horizontalCentered="1" verticalCentered="1"/>
  <pageMargins left="0" right="0" top="0" bottom="0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6241-3DAC-40A2-B093-CBDA35DD90B3}">
  <sheetPr>
    <pageSetUpPr fitToPage="1"/>
  </sheetPr>
  <dimension ref="B1:AN46"/>
  <sheetViews>
    <sheetView zoomScaleNormal="10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AN3" sqref="AN3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21" bestFit="1" customWidth="1"/>
    <col min="7" max="7" width="17.7109375" bestFit="1" customWidth="1"/>
    <col min="8" max="8" width="21" hidden="1" customWidth="1" outlineLevel="1"/>
    <col min="9" max="9" width="1.42578125" customWidth="1" collapsed="1"/>
    <col min="10" max="10" width="7.42578125" customWidth="1"/>
    <col min="11" max="11" width="7.140625" customWidth="1"/>
    <col min="12" max="12" width="6.85546875" customWidth="1"/>
    <col min="13" max="13" width="1.42578125" customWidth="1"/>
    <col min="14" max="14" width="7.42578125" customWidth="1"/>
    <col min="15" max="15" width="5.140625" hidden="1" customWidth="1" outlineLevel="1"/>
    <col min="16" max="16" width="4.28515625" hidden="1" customWidth="1" outlineLevel="1"/>
    <col min="17" max="17" width="7.140625" hidden="1" customWidth="1" outlineLevel="1"/>
    <col min="18" max="18" width="6.85546875" hidden="1" customWidth="1" outlineLevel="1"/>
    <col min="19" max="19" width="7.85546875" hidden="1" customWidth="1" outlineLevel="1"/>
    <col min="20" max="20" width="7.140625" hidden="1" customWidth="1" outlineLevel="1"/>
    <col min="21" max="21" width="7.140625" customWidth="1" collapsed="1"/>
    <col min="22" max="22" width="6.85546875" customWidth="1"/>
    <col min="23" max="23" width="1.42578125" customWidth="1"/>
    <col min="24" max="24" width="5.140625" hidden="1" customWidth="1" outlineLevel="1"/>
    <col min="25" max="25" width="4.28515625" hidden="1" customWidth="1" outlineLevel="1"/>
    <col min="26" max="26" width="7.140625" customWidth="1" collapsed="1"/>
    <col min="27" max="27" width="6.85546875" customWidth="1"/>
    <col min="28" max="28" width="7.85546875" hidden="1" customWidth="1" outlineLevel="1"/>
    <col min="29" max="29" width="7.140625" hidden="1" customWidth="1" outlineLevel="1"/>
    <col min="30" max="30" width="7.140625" customWidth="1" collapsed="1"/>
    <col min="31" max="31" width="6.85546875" customWidth="1"/>
    <col min="32" max="32" width="1.42578125" customWidth="1"/>
    <col min="33" max="33" width="5.140625" hidden="1" customWidth="1" outlineLevel="1"/>
    <col min="34" max="34" width="4.28515625" hidden="1" customWidth="1" outlineLevel="1"/>
    <col min="35" max="35" width="7.140625" customWidth="1" collapsed="1"/>
    <col min="36" max="36" width="6.85546875" customWidth="1"/>
    <col min="37" max="37" width="7.85546875" hidden="1" customWidth="1" outlineLevel="1"/>
    <col min="38" max="38" width="7.140625" hidden="1" customWidth="1" outlineLevel="1"/>
    <col min="39" max="39" width="7.140625" customWidth="1" collapsed="1"/>
    <col min="40" max="40" width="6.85546875" customWidth="1"/>
  </cols>
  <sheetData>
    <row r="1" spans="2:40" x14ac:dyDescent="0.25">
      <c r="F1" s="12"/>
      <c r="G1" s="12"/>
      <c r="H1" s="12"/>
      <c r="J1" s="3"/>
      <c r="K1" s="3"/>
      <c r="L1" s="4">
        <v>1</v>
      </c>
      <c r="N1" s="3"/>
      <c r="O1" s="3"/>
      <c r="P1" s="3"/>
      <c r="Q1" s="3"/>
      <c r="R1" s="3"/>
      <c r="S1" s="3"/>
      <c r="T1" s="3"/>
      <c r="U1" s="3"/>
      <c r="V1" s="4">
        <v>1</v>
      </c>
      <c r="X1" s="3"/>
      <c r="Y1" s="3"/>
      <c r="Z1" s="3"/>
      <c r="AA1" s="3"/>
      <c r="AB1" s="3"/>
      <c r="AC1" s="3"/>
      <c r="AD1" s="3"/>
      <c r="AE1" s="4">
        <v>1</v>
      </c>
      <c r="AG1" s="3"/>
      <c r="AH1" s="3"/>
      <c r="AI1" s="3"/>
      <c r="AJ1" s="3"/>
      <c r="AK1" s="3"/>
      <c r="AL1" s="3"/>
      <c r="AM1" s="3"/>
      <c r="AN1" s="4">
        <v>1</v>
      </c>
    </row>
    <row r="2" spans="2:40" x14ac:dyDescent="0.25">
      <c r="F2" s="12"/>
      <c r="G2" s="12"/>
      <c r="H2" s="12"/>
      <c r="J2" s="3"/>
      <c r="K2" s="3"/>
      <c r="L2" s="3"/>
      <c r="N2" s="3"/>
      <c r="O2" s="3"/>
      <c r="P2" s="3"/>
      <c r="Q2" s="3"/>
      <c r="R2" s="5">
        <f>50+40+30</f>
        <v>120</v>
      </c>
      <c r="S2" s="3"/>
      <c r="T2" s="3"/>
      <c r="U2" s="3"/>
      <c r="V2" s="3"/>
      <c r="X2" s="3"/>
      <c r="Y2" s="3"/>
      <c r="Z2" s="3"/>
      <c r="AA2" s="5">
        <f>3+21*2+2+15*2+1+9*2</f>
        <v>96</v>
      </c>
      <c r="AB2" s="3"/>
      <c r="AC2" s="3"/>
      <c r="AD2" s="3"/>
      <c r="AE2" s="3"/>
      <c r="AG2" s="3"/>
      <c r="AH2" s="3"/>
      <c r="AI2" s="3"/>
      <c r="AJ2" s="5">
        <f>80+10+20+30+40+30+20+10+80</f>
        <v>320</v>
      </c>
      <c r="AK2" s="3"/>
      <c r="AL2" s="3"/>
      <c r="AM2" s="3"/>
      <c r="AN2" s="3"/>
    </row>
    <row r="3" spans="2:40" x14ac:dyDescent="0.25">
      <c r="F3" s="12"/>
      <c r="G3" s="12"/>
      <c r="H3" s="12"/>
      <c r="J3" s="6"/>
      <c r="K3" s="3"/>
      <c r="L3" s="3"/>
      <c r="N3" s="6"/>
      <c r="O3" s="3"/>
      <c r="P3" s="3"/>
      <c r="Q3" s="3"/>
      <c r="R3" s="6" t="s">
        <v>32</v>
      </c>
      <c r="S3" s="3"/>
      <c r="T3" s="3"/>
      <c r="U3" s="3"/>
      <c r="V3" s="3"/>
      <c r="X3" s="3"/>
      <c r="Y3" s="3"/>
      <c r="Z3" s="3"/>
      <c r="AA3" s="6" t="s">
        <v>31</v>
      </c>
      <c r="AB3" s="3"/>
      <c r="AC3" s="3"/>
      <c r="AD3" s="3"/>
      <c r="AE3" s="3"/>
      <c r="AG3" s="3"/>
      <c r="AH3" s="3"/>
      <c r="AI3" s="3"/>
      <c r="AJ3" s="6" t="s">
        <v>20</v>
      </c>
      <c r="AK3" s="3"/>
      <c r="AL3" s="3"/>
      <c r="AM3" s="3"/>
      <c r="AN3" s="3"/>
    </row>
    <row r="4" spans="2:40" x14ac:dyDescent="0.25">
      <c r="J4" s="3"/>
      <c r="K4" s="3"/>
      <c r="L4" s="3"/>
      <c r="N4" s="3"/>
      <c r="O4" s="3"/>
      <c r="P4" s="3"/>
      <c r="Q4" s="3"/>
      <c r="R4" s="3"/>
      <c r="S4" s="3"/>
      <c r="T4" s="3"/>
      <c r="U4" s="3"/>
      <c r="V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</row>
    <row r="5" spans="2:40" ht="15" customHeight="1" x14ac:dyDescent="0.25">
      <c r="B5" s="24" t="s">
        <v>4</v>
      </c>
      <c r="C5" s="25"/>
      <c r="D5" s="26"/>
      <c r="E5" s="7"/>
      <c r="F5" s="24" t="s">
        <v>33</v>
      </c>
      <c r="G5" s="25"/>
      <c r="H5" s="26"/>
      <c r="I5" s="7"/>
      <c r="J5" s="25" t="s">
        <v>27</v>
      </c>
      <c r="K5" s="25"/>
      <c r="L5" s="26"/>
      <c r="M5" s="7"/>
      <c r="N5" s="24" t="s">
        <v>28</v>
      </c>
      <c r="O5" s="25"/>
      <c r="P5" s="25"/>
      <c r="Q5" s="25"/>
      <c r="R5" s="25"/>
      <c r="S5" s="25"/>
      <c r="T5" s="25"/>
      <c r="U5" s="25"/>
      <c r="V5" s="26"/>
      <c r="W5" s="7"/>
      <c r="X5" s="24" t="s">
        <v>19</v>
      </c>
      <c r="Y5" s="25"/>
      <c r="Z5" s="25"/>
      <c r="AA5" s="25"/>
      <c r="AB5" s="25"/>
      <c r="AC5" s="25"/>
      <c r="AD5" s="25"/>
      <c r="AE5" s="26"/>
      <c r="AF5" s="7"/>
      <c r="AG5" s="24" t="s">
        <v>5</v>
      </c>
      <c r="AH5" s="25"/>
      <c r="AI5" s="25"/>
      <c r="AJ5" s="25"/>
      <c r="AK5" s="25"/>
      <c r="AL5" s="25"/>
      <c r="AM5" s="25"/>
      <c r="AN5" s="26"/>
    </row>
    <row r="6" spans="2:40" x14ac:dyDescent="0.25">
      <c r="B6" s="27"/>
      <c r="C6" s="28"/>
      <c r="D6" s="29"/>
      <c r="E6" s="8"/>
      <c r="F6" s="27"/>
      <c r="G6" s="28"/>
      <c r="H6" s="29"/>
      <c r="I6" s="8"/>
      <c r="J6" s="28"/>
      <c r="K6" s="28"/>
      <c r="L6" s="29"/>
      <c r="M6" s="8"/>
      <c r="N6" s="27"/>
      <c r="O6" s="28"/>
      <c r="P6" s="28"/>
      <c r="Q6" s="28"/>
      <c r="R6" s="28"/>
      <c r="S6" s="28"/>
      <c r="T6" s="28"/>
      <c r="U6" s="28"/>
      <c r="V6" s="29"/>
      <c r="W6" s="8"/>
      <c r="X6" s="27"/>
      <c r="Y6" s="28"/>
      <c r="Z6" s="28"/>
      <c r="AA6" s="28"/>
      <c r="AB6" s="28"/>
      <c r="AC6" s="28"/>
      <c r="AD6" s="28"/>
      <c r="AE6" s="29"/>
      <c r="AF6" s="8"/>
      <c r="AG6" s="27"/>
      <c r="AH6" s="28"/>
      <c r="AI6" s="28"/>
      <c r="AJ6" s="28"/>
      <c r="AK6" s="28"/>
      <c r="AL6" s="28"/>
      <c r="AM6" s="28"/>
      <c r="AN6" s="29"/>
    </row>
    <row r="7" spans="2:40" ht="25.5" x14ac:dyDescent="0.25">
      <c r="B7" s="16" t="s">
        <v>6</v>
      </c>
      <c r="C7" s="16" t="s">
        <v>7</v>
      </c>
      <c r="D7" s="11" t="s">
        <v>17</v>
      </c>
      <c r="E7" s="9"/>
      <c r="F7" s="14" t="s">
        <v>8</v>
      </c>
      <c r="G7" s="14" t="s">
        <v>24</v>
      </c>
      <c r="H7" s="14" t="s">
        <v>18</v>
      </c>
      <c r="I7" s="9"/>
      <c r="J7" s="16" t="s">
        <v>30</v>
      </c>
      <c r="K7" s="11" t="s">
        <v>12</v>
      </c>
      <c r="L7" s="11" t="s">
        <v>13</v>
      </c>
      <c r="M7" s="9"/>
      <c r="N7" s="16" t="s">
        <v>30</v>
      </c>
      <c r="O7" s="11" t="s">
        <v>9</v>
      </c>
      <c r="P7" s="11" t="s">
        <v>10</v>
      </c>
      <c r="Q7" s="11" t="s">
        <v>11</v>
      </c>
      <c r="R7" s="16" t="s">
        <v>14</v>
      </c>
      <c r="S7" s="11" t="s">
        <v>15</v>
      </c>
      <c r="T7" s="11" t="s">
        <v>11</v>
      </c>
      <c r="U7" s="11" t="s">
        <v>12</v>
      </c>
      <c r="V7" s="11" t="s">
        <v>13</v>
      </c>
      <c r="W7" s="9"/>
      <c r="X7" s="11" t="s">
        <v>9</v>
      </c>
      <c r="Y7" s="11" t="s">
        <v>10</v>
      </c>
      <c r="Z7" s="11" t="s">
        <v>11</v>
      </c>
      <c r="AA7" s="16" t="s">
        <v>14</v>
      </c>
      <c r="AB7" s="11" t="s">
        <v>15</v>
      </c>
      <c r="AC7" s="11" t="s">
        <v>11</v>
      </c>
      <c r="AD7" s="11" t="s">
        <v>12</v>
      </c>
      <c r="AE7" s="11" t="s">
        <v>13</v>
      </c>
      <c r="AF7" s="9"/>
      <c r="AG7" s="11" t="s">
        <v>9</v>
      </c>
      <c r="AH7" s="11" t="s">
        <v>10</v>
      </c>
      <c r="AI7" s="11" t="s">
        <v>11</v>
      </c>
      <c r="AJ7" s="16" t="s">
        <v>14</v>
      </c>
      <c r="AK7" s="11" t="s">
        <v>15</v>
      </c>
      <c r="AL7" s="11" t="s">
        <v>11</v>
      </c>
      <c r="AM7" s="11" t="s">
        <v>12</v>
      </c>
      <c r="AN7" s="11" t="s">
        <v>13</v>
      </c>
    </row>
    <row r="8" spans="2:40" x14ac:dyDescent="0.25">
      <c r="B8" s="7">
        <f t="shared" ref="B8:B15" si="0">RANK(C8,C$8:C$23,0)</f>
        <v>1</v>
      </c>
      <c r="C8" s="7">
        <f t="shared" ref="C8:C23" si="1">SUMIF($J$1:$AN$1,1,$J8:$AN8)</f>
        <v>366</v>
      </c>
      <c r="D8" s="7">
        <f>VLOOKUP(B8,'Место-баллы'!$A$3:$E$52,5,0)</f>
        <v>50</v>
      </c>
      <c r="E8" s="10"/>
      <c r="F8" s="10" t="s">
        <v>140</v>
      </c>
      <c r="G8" s="10" t="s">
        <v>141</v>
      </c>
      <c r="H8" s="15"/>
      <c r="I8" s="10"/>
      <c r="J8" s="7">
        <v>100</v>
      </c>
      <c r="K8" s="7">
        <f t="shared" ref="K8:K23" si="2">RANK(J8,J$8:J$23,0)</f>
        <v>8</v>
      </c>
      <c r="L8" s="7">
        <f>VLOOKUP(K8,'Место-баллы'!$A$3:$E$52,2,0)</f>
        <v>71</v>
      </c>
      <c r="M8" s="10"/>
      <c r="N8" s="7">
        <v>150</v>
      </c>
      <c r="O8" s="7"/>
      <c r="P8" s="7"/>
      <c r="Q8" s="13">
        <f t="shared" ref="Q8:Q23" si="3">TIME(0,O8,P8)</f>
        <v>0</v>
      </c>
      <c r="R8" s="7"/>
      <c r="S8" s="7">
        <f t="shared" ref="S8:S23" si="4">R$2-R8</f>
        <v>120</v>
      </c>
      <c r="T8" s="13">
        <f t="shared" ref="T8:T23" si="5">Q8+TIME(0,0,S8)</f>
        <v>1.3888888888888889E-3</v>
      </c>
      <c r="U8" s="7">
        <f t="shared" ref="U8:U23" si="6">RANK(N8,N$8:N$23,0)</f>
        <v>1</v>
      </c>
      <c r="V8" s="7">
        <f>VLOOKUP(U8,'Место-баллы'!$A$3:$E$52,2,0)</f>
        <v>100</v>
      </c>
      <c r="W8" s="10"/>
      <c r="X8" s="7">
        <v>7</v>
      </c>
      <c r="Y8" s="7">
        <v>50</v>
      </c>
      <c r="Z8" s="13">
        <f t="shared" ref="Z8:Z22" si="7">TIME(0,X8,Y8)</f>
        <v>5.4398148148148149E-3</v>
      </c>
      <c r="AA8" s="7">
        <v>96</v>
      </c>
      <c r="AB8" s="7">
        <f t="shared" ref="AB8:AB22" si="8">AA$2-AA8</f>
        <v>0</v>
      </c>
      <c r="AC8" s="13">
        <f t="shared" ref="AC8:AC22" si="9">Z8+TIME(0,0,AB8)</f>
        <v>5.4398148148148149E-3</v>
      </c>
      <c r="AD8" s="7">
        <f t="shared" ref="AD8:AD22" si="10">RANK(AC8,AC$8:AC$23,1)</f>
        <v>2</v>
      </c>
      <c r="AE8" s="7">
        <f>VLOOKUP(AD8,'Место-баллы'!$A$3:$E$52,2,0)</f>
        <v>95</v>
      </c>
      <c r="AF8" s="10"/>
      <c r="AG8" s="7">
        <v>15</v>
      </c>
      <c r="AH8" s="7">
        <v>42</v>
      </c>
      <c r="AI8" s="13">
        <f t="shared" ref="AI8:AI15" si="11">TIME(0,AG8,AH8)</f>
        <v>1.0902777777777779E-2</v>
      </c>
      <c r="AJ8" s="7">
        <v>320</v>
      </c>
      <c r="AK8" s="7">
        <f t="shared" ref="AK8:AK15" si="12">AJ$2-AJ8</f>
        <v>0</v>
      </c>
      <c r="AL8" s="13">
        <f t="shared" ref="AL8:AL15" si="13">AI8+TIME(0,0,AK8)</f>
        <v>1.0902777777777779E-2</v>
      </c>
      <c r="AM8" s="7">
        <f t="shared" ref="AM8:AM15" si="14">RANK(AL8,AL$8:AL$23,1)</f>
        <v>1</v>
      </c>
      <c r="AN8" s="7">
        <f>VLOOKUP(AM8,'Место-баллы'!$A$3:$E$52,2,0)</f>
        <v>100</v>
      </c>
    </row>
    <row r="9" spans="2:40" x14ac:dyDescent="0.25">
      <c r="B9" s="7">
        <f t="shared" si="0"/>
        <v>2</v>
      </c>
      <c r="C9" s="7">
        <f t="shared" si="1"/>
        <v>365</v>
      </c>
      <c r="D9" s="7">
        <f>VLOOKUP(B9,'Место-баллы'!$A$3:$E$52,5,0)</f>
        <v>48</v>
      </c>
      <c r="E9" s="10"/>
      <c r="F9" s="10" t="s">
        <v>145</v>
      </c>
      <c r="G9" s="10" t="s">
        <v>49</v>
      </c>
      <c r="H9" s="15"/>
      <c r="I9" s="10"/>
      <c r="J9" s="7">
        <v>115</v>
      </c>
      <c r="K9" s="7">
        <f t="shared" si="2"/>
        <v>3</v>
      </c>
      <c r="L9" s="7">
        <f>VLOOKUP(K9,'Место-баллы'!$A$3:$E$52,2,0)</f>
        <v>90</v>
      </c>
      <c r="M9" s="10"/>
      <c r="N9" s="7">
        <v>147</v>
      </c>
      <c r="O9" s="7"/>
      <c r="P9" s="7"/>
      <c r="Q9" s="13">
        <f t="shared" si="3"/>
        <v>0</v>
      </c>
      <c r="R9" s="7"/>
      <c r="S9" s="7">
        <f t="shared" si="4"/>
        <v>120</v>
      </c>
      <c r="T9" s="13">
        <f t="shared" si="5"/>
        <v>1.3888888888888889E-3</v>
      </c>
      <c r="U9" s="7">
        <f t="shared" si="6"/>
        <v>3</v>
      </c>
      <c r="V9" s="7">
        <f>VLOOKUP(U9,'Место-баллы'!$A$3:$E$52,2,0)</f>
        <v>90</v>
      </c>
      <c r="W9" s="10"/>
      <c r="X9" s="7">
        <v>7</v>
      </c>
      <c r="Y9" s="7">
        <v>33</v>
      </c>
      <c r="Z9" s="13">
        <f t="shared" si="7"/>
        <v>5.2430555555555555E-3</v>
      </c>
      <c r="AA9" s="7">
        <v>96</v>
      </c>
      <c r="AB9" s="7">
        <f t="shared" si="8"/>
        <v>0</v>
      </c>
      <c r="AC9" s="13">
        <f t="shared" si="9"/>
        <v>5.2430555555555555E-3</v>
      </c>
      <c r="AD9" s="7">
        <f t="shared" si="10"/>
        <v>1</v>
      </c>
      <c r="AE9" s="7">
        <f>VLOOKUP(AD9,'Место-баллы'!$A$3:$E$52,2,0)</f>
        <v>100</v>
      </c>
      <c r="AF9" s="10"/>
      <c r="AG9" s="7">
        <v>16</v>
      </c>
      <c r="AH9" s="7">
        <v>5</v>
      </c>
      <c r="AI9" s="13">
        <f t="shared" si="11"/>
        <v>1.1168981481481481E-2</v>
      </c>
      <c r="AJ9" s="7">
        <v>262</v>
      </c>
      <c r="AK9" s="7">
        <f t="shared" si="12"/>
        <v>58</v>
      </c>
      <c r="AL9" s="13">
        <f t="shared" si="13"/>
        <v>1.1840277777777778E-2</v>
      </c>
      <c r="AM9" s="7">
        <f t="shared" si="14"/>
        <v>4</v>
      </c>
      <c r="AN9" s="7">
        <f>VLOOKUP(AM9,'Место-баллы'!$A$3:$E$52,2,0)</f>
        <v>85</v>
      </c>
    </row>
    <row r="10" spans="2:40" x14ac:dyDescent="0.25">
      <c r="B10" s="7">
        <f t="shared" si="0"/>
        <v>3</v>
      </c>
      <c r="C10" s="7">
        <f t="shared" si="1"/>
        <v>363</v>
      </c>
      <c r="D10" s="7">
        <f>VLOOKUP(B10,'Место-баллы'!$A$3:$E$52,5,0)</f>
        <v>46</v>
      </c>
      <c r="E10" s="10"/>
      <c r="F10" s="10" t="s">
        <v>146</v>
      </c>
      <c r="G10" s="10" t="s">
        <v>49</v>
      </c>
      <c r="H10" s="15"/>
      <c r="I10" s="10"/>
      <c r="J10" s="7">
        <v>130</v>
      </c>
      <c r="K10" s="7">
        <f t="shared" si="2"/>
        <v>1</v>
      </c>
      <c r="L10" s="7">
        <f>VLOOKUP(K10,'Место-баллы'!$A$3:$E$52,2,0)</f>
        <v>100</v>
      </c>
      <c r="M10" s="10"/>
      <c r="N10" s="7">
        <v>150</v>
      </c>
      <c r="O10" s="7"/>
      <c r="P10" s="7"/>
      <c r="Q10" s="13">
        <f t="shared" si="3"/>
        <v>0</v>
      </c>
      <c r="R10" s="7"/>
      <c r="S10" s="7">
        <f t="shared" si="4"/>
        <v>120</v>
      </c>
      <c r="T10" s="13">
        <f t="shared" si="5"/>
        <v>1.3888888888888889E-3</v>
      </c>
      <c r="U10" s="7">
        <f t="shared" si="6"/>
        <v>1</v>
      </c>
      <c r="V10" s="7">
        <f>VLOOKUP(U10,'Место-баллы'!$A$3:$E$52,2,0)</f>
        <v>100</v>
      </c>
      <c r="W10" s="10"/>
      <c r="X10" s="7">
        <v>9</v>
      </c>
      <c r="Y10" s="7">
        <v>42</v>
      </c>
      <c r="Z10" s="13">
        <f t="shared" si="7"/>
        <v>6.7361111111111111E-3</v>
      </c>
      <c r="AA10" s="7">
        <v>96</v>
      </c>
      <c r="AB10" s="7">
        <f t="shared" si="8"/>
        <v>0</v>
      </c>
      <c r="AC10" s="13">
        <f t="shared" si="9"/>
        <v>6.7361111111111111E-3</v>
      </c>
      <c r="AD10" s="7">
        <f t="shared" si="10"/>
        <v>7</v>
      </c>
      <c r="AE10" s="7">
        <f>VLOOKUP(AD10,'Место-баллы'!$A$3:$E$52,2,0)</f>
        <v>73</v>
      </c>
      <c r="AF10" s="10"/>
      <c r="AG10" s="7">
        <v>16</v>
      </c>
      <c r="AH10" s="7">
        <v>5</v>
      </c>
      <c r="AI10" s="13">
        <f t="shared" si="11"/>
        <v>1.1168981481481481E-2</v>
      </c>
      <c r="AJ10" s="7">
        <v>290</v>
      </c>
      <c r="AK10" s="7">
        <f t="shared" si="12"/>
        <v>30</v>
      </c>
      <c r="AL10" s="13">
        <f t="shared" si="13"/>
        <v>1.1516203703703704E-2</v>
      </c>
      <c r="AM10" s="7">
        <f t="shared" si="14"/>
        <v>3</v>
      </c>
      <c r="AN10" s="7">
        <f>VLOOKUP(AM10,'Место-баллы'!$A$3:$E$52,2,0)</f>
        <v>90</v>
      </c>
    </row>
    <row r="11" spans="2:40" x14ac:dyDescent="0.25">
      <c r="B11" s="7">
        <f t="shared" si="0"/>
        <v>4</v>
      </c>
      <c r="C11" s="7">
        <f t="shared" si="1"/>
        <v>331</v>
      </c>
      <c r="D11" s="7">
        <f>VLOOKUP(B11,'Место-баллы'!$A$3:$E$52,5,0)</f>
        <v>44</v>
      </c>
      <c r="E11" s="10"/>
      <c r="F11" s="10" t="s">
        <v>144</v>
      </c>
      <c r="G11" s="10" t="s">
        <v>127</v>
      </c>
      <c r="H11" s="15"/>
      <c r="I11" s="10"/>
      <c r="J11" s="7">
        <v>115</v>
      </c>
      <c r="K11" s="7">
        <f t="shared" si="2"/>
        <v>3</v>
      </c>
      <c r="L11" s="7">
        <f>VLOOKUP(K11,'Место-баллы'!$A$3:$E$52,2,0)</f>
        <v>90</v>
      </c>
      <c r="M11" s="10"/>
      <c r="N11" s="7">
        <v>130</v>
      </c>
      <c r="O11" s="7"/>
      <c r="P11" s="7"/>
      <c r="Q11" s="13">
        <f t="shared" si="3"/>
        <v>0</v>
      </c>
      <c r="R11" s="7"/>
      <c r="S11" s="7">
        <f t="shared" si="4"/>
        <v>120</v>
      </c>
      <c r="T11" s="13">
        <f t="shared" si="5"/>
        <v>1.3888888888888889E-3</v>
      </c>
      <c r="U11" s="7">
        <f t="shared" si="6"/>
        <v>6</v>
      </c>
      <c r="V11" s="7">
        <f>VLOOKUP(U11,'Место-баллы'!$A$3:$E$52,2,0)</f>
        <v>75</v>
      </c>
      <c r="W11" s="10"/>
      <c r="X11" s="7">
        <v>10</v>
      </c>
      <c r="Y11" s="7">
        <v>5</v>
      </c>
      <c r="Z11" s="13">
        <f t="shared" si="7"/>
        <v>7.0023148148148145E-3</v>
      </c>
      <c r="AA11" s="7">
        <f>87+7</f>
        <v>94</v>
      </c>
      <c r="AB11" s="7">
        <f t="shared" si="8"/>
        <v>2</v>
      </c>
      <c r="AC11" s="13">
        <f t="shared" si="9"/>
        <v>7.0254629629629625E-3</v>
      </c>
      <c r="AD11" s="7">
        <f t="shared" si="10"/>
        <v>8</v>
      </c>
      <c r="AE11" s="7">
        <f>VLOOKUP(AD11,'Место-баллы'!$A$3:$E$52,2,0)</f>
        <v>71</v>
      </c>
      <c r="AF11" s="10"/>
      <c r="AG11" s="7">
        <v>15</v>
      </c>
      <c r="AH11" s="7">
        <v>50</v>
      </c>
      <c r="AI11" s="13">
        <f t="shared" si="11"/>
        <v>1.0995370370370371E-2</v>
      </c>
      <c r="AJ11" s="7">
        <v>320</v>
      </c>
      <c r="AK11" s="7">
        <f t="shared" si="12"/>
        <v>0</v>
      </c>
      <c r="AL11" s="13">
        <f t="shared" si="13"/>
        <v>1.0995370370370371E-2</v>
      </c>
      <c r="AM11" s="7">
        <f t="shared" si="14"/>
        <v>2</v>
      </c>
      <c r="AN11" s="7">
        <f>VLOOKUP(AM11,'Место-баллы'!$A$3:$E$52,2,0)</f>
        <v>95</v>
      </c>
    </row>
    <row r="12" spans="2:40" x14ac:dyDescent="0.25">
      <c r="B12" s="7">
        <f t="shared" si="0"/>
        <v>5</v>
      </c>
      <c r="C12" s="7">
        <f t="shared" si="1"/>
        <v>325</v>
      </c>
      <c r="D12" s="7">
        <f>VLOOKUP(B12,'Место-баллы'!$A$3:$E$52,5,0)</f>
        <v>42</v>
      </c>
      <c r="E12" s="10"/>
      <c r="F12" s="10" t="s">
        <v>131</v>
      </c>
      <c r="G12" s="10" t="s">
        <v>49</v>
      </c>
      <c r="H12" s="15"/>
      <c r="I12" s="10"/>
      <c r="J12" s="7">
        <v>115</v>
      </c>
      <c r="K12" s="7">
        <f t="shared" si="2"/>
        <v>3</v>
      </c>
      <c r="L12" s="7">
        <f>VLOOKUP(K12,'Место-баллы'!$A$3:$E$52,2,0)</f>
        <v>90</v>
      </c>
      <c r="M12" s="10"/>
      <c r="N12" s="7">
        <v>140</v>
      </c>
      <c r="O12" s="7"/>
      <c r="P12" s="7"/>
      <c r="Q12" s="13">
        <f t="shared" si="3"/>
        <v>0</v>
      </c>
      <c r="R12" s="7"/>
      <c r="S12" s="7">
        <f t="shared" si="4"/>
        <v>120</v>
      </c>
      <c r="T12" s="13">
        <f t="shared" si="5"/>
        <v>1.3888888888888889E-3</v>
      </c>
      <c r="U12" s="7">
        <f t="shared" si="6"/>
        <v>5</v>
      </c>
      <c r="V12" s="7">
        <f>VLOOKUP(U12,'Место-баллы'!$A$3:$E$52,2,0)</f>
        <v>80</v>
      </c>
      <c r="W12" s="10"/>
      <c r="X12" s="7">
        <v>9</v>
      </c>
      <c r="Y12" s="7">
        <v>41</v>
      </c>
      <c r="Z12" s="13">
        <f t="shared" si="7"/>
        <v>6.7245370370370367E-3</v>
      </c>
      <c r="AA12" s="7">
        <v>96</v>
      </c>
      <c r="AB12" s="7">
        <f t="shared" si="8"/>
        <v>0</v>
      </c>
      <c r="AC12" s="13">
        <f t="shared" si="9"/>
        <v>6.7245370370370367E-3</v>
      </c>
      <c r="AD12" s="7">
        <f t="shared" si="10"/>
        <v>6</v>
      </c>
      <c r="AE12" s="7">
        <f>VLOOKUP(AD12,'Место-баллы'!$A$3:$E$52,2,0)</f>
        <v>75</v>
      </c>
      <c r="AF12" s="10"/>
      <c r="AG12" s="7">
        <v>16</v>
      </c>
      <c r="AH12" s="7">
        <v>5</v>
      </c>
      <c r="AI12" s="13">
        <f t="shared" si="11"/>
        <v>1.1168981481481481E-2</v>
      </c>
      <c r="AJ12" s="7">
        <v>247</v>
      </c>
      <c r="AK12" s="7">
        <f t="shared" si="12"/>
        <v>73</v>
      </c>
      <c r="AL12" s="13">
        <f t="shared" si="13"/>
        <v>1.2013888888888888E-2</v>
      </c>
      <c r="AM12" s="7">
        <f t="shared" si="14"/>
        <v>5</v>
      </c>
      <c r="AN12" s="7">
        <f>VLOOKUP(AM12,'Место-баллы'!$A$3:$E$52,2,0)</f>
        <v>80</v>
      </c>
    </row>
    <row r="13" spans="2:40" x14ac:dyDescent="0.25">
      <c r="B13" s="7">
        <f t="shared" si="0"/>
        <v>6</v>
      </c>
      <c r="C13" s="7">
        <f t="shared" si="1"/>
        <v>322</v>
      </c>
      <c r="D13" s="7">
        <f>VLOOKUP(B13,'Место-баллы'!$A$3:$E$52,5,0)</f>
        <v>41</v>
      </c>
      <c r="E13" s="10"/>
      <c r="F13" s="10" t="s">
        <v>149</v>
      </c>
      <c r="G13" s="10" t="s">
        <v>49</v>
      </c>
      <c r="H13" s="15"/>
      <c r="I13" s="10"/>
      <c r="J13" s="7">
        <v>116</v>
      </c>
      <c r="K13" s="7">
        <f t="shared" si="2"/>
        <v>2</v>
      </c>
      <c r="L13" s="7">
        <f>VLOOKUP(K13,'Место-баллы'!$A$3:$E$52,2,0)</f>
        <v>95</v>
      </c>
      <c r="M13" s="10"/>
      <c r="N13" s="7">
        <v>146</v>
      </c>
      <c r="O13" s="7"/>
      <c r="P13" s="7"/>
      <c r="Q13" s="13">
        <f t="shared" si="3"/>
        <v>0</v>
      </c>
      <c r="R13" s="7"/>
      <c r="S13" s="7">
        <f t="shared" si="4"/>
        <v>120</v>
      </c>
      <c r="T13" s="13">
        <f t="shared" si="5"/>
        <v>1.3888888888888889E-3</v>
      </c>
      <c r="U13" s="7">
        <f t="shared" si="6"/>
        <v>4</v>
      </c>
      <c r="V13" s="7">
        <f>VLOOKUP(U13,'Место-баллы'!$A$3:$E$52,2,0)</f>
        <v>85</v>
      </c>
      <c r="W13" s="10"/>
      <c r="X13" s="7">
        <v>10</v>
      </c>
      <c r="Y13" s="7">
        <v>5</v>
      </c>
      <c r="Z13" s="13">
        <f t="shared" si="7"/>
        <v>7.0023148148148145E-3</v>
      </c>
      <c r="AA13" s="7">
        <f>87+4</f>
        <v>91</v>
      </c>
      <c r="AB13" s="7">
        <f t="shared" si="8"/>
        <v>5</v>
      </c>
      <c r="AC13" s="13">
        <f t="shared" si="9"/>
        <v>7.060185185185185E-3</v>
      </c>
      <c r="AD13" s="7">
        <f t="shared" si="10"/>
        <v>9</v>
      </c>
      <c r="AE13" s="7">
        <f>VLOOKUP(AD13,'Место-баллы'!$A$3:$E$52,2,0)</f>
        <v>69</v>
      </c>
      <c r="AF13" s="10"/>
      <c r="AG13" s="7">
        <v>16</v>
      </c>
      <c r="AH13" s="7">
        <v>5</v>
      </c>
      <c r="AI13" s="13">
        <f t="shared" si="11"/>
        <v>1.1168981481481481E-2</v>
      </c>
      <c r="AJ13" s="7">
        <v>236</v>
      </c>
      <c r="AK13" s="7">
        <f t="shared" si="12"/>
        <v>84</v>
      </c>
      <c r="AL13" s="13">
        <f t="shared" si="13"/>
        <v>1.2141203703703703E-2</v>
      </c>
      <c r="AM13" s="7">
        <f t="shared" si="14"/>
        <v>7</v>
      </c>
      <c r="AN13" s="7">
        <f>VLOOKUP(AM13,'Место-баллы'!$A$3:$E$52,2,0)</f>
        <v>73</v>
      </c>
    </row>
    <row r="14" spans="2:40" x14ac:dyDescent="0.25">
      <c r="B14" s="7">
        <f t="shared" si="0"/>
        <v>7</v>
      </c>
      <c r="C14" s="7">
        <f t="shared" si="1"/>
        <v>302</v>
      </c>
      <c r="D14" s="7">
        <f>VLOOKUP(B14,'Место-баллы'!$A$3:$E$52,5,0)</f>
        <v>40</v>
      </c>
      <c r="E14" s="10"/>
      <c r="F14" s="10" t="s">
        <v>135</v>
      </c>
      <c r="G14" s="10" t="s">
        <v>49</v>
      </c>
      <c r="H14" s="15"/>
      <c r="I14" s="10"/>
      <c r="J14" s="7">
        <v>100</v>
      </c>
      <c r="K14" s="7">
        <f t="shared" si="2"/>
        <v>8</v>
      </c>
      <c r="L14" s="7">
        <f>VLOOKUP(K14,'Место-баллы'!$A$3:$E$52,2,0)</f>
        <v>71</v>
      </c>
      <c r="M14" s="10"/>
      <c r="N14" s="7">
        <v>130</v>
      </c>
      <c r="O14" s="7"/>
      <c r="P14" s="7"/>
      <c r="Q14" s="13">
        <f t="shared" si="3"/>
        <v>0</v>
      </c>
      <c r="R14" s="7"/>
      <c r="S14" s="7">
        <f t="shared" si="4"/>
        <v>120</v>
      </c>
      <c r="T14" s="13">
        <f t="shared" si="5"/>
        <v>1.3888888888888889E-3</v>
      </c>
      <c r="U14" s="7">
        <f t="shared" si="6"/>
        <v>6</v>
      </c>
      <c r="V14" s="7">
        <f>VLOOKUP(U14,'Место-баллы'!$A$3:$E$52,2,0)</f>
        <v>75</v>
      </c>
      <c r="W14" s="10"/>
      <c r="X14" s="7">
        <v>9</v>
      </c>
      <c r="Y14" s="7">
        <v>3</v>
      </c>
      <c r="Z14" s="13">
        <f t="shared" si="7"/>
        <v>6.2847222222222219E-3</v>
      </c>
      <c r="AA14" s="7">
        <v>96</v>
      </c>
      <c r="AB14" s="7">
        <f t="shared" si="8"/>
        <v>0</v>
      </c>
      <c r="AC14" s="13">
        <f t="shared" si="9"/>
        <v>6.2847222222222219E-3</v>
      </c>
      <c r="AD14" s="7">
        <f t="shared" si="10"/>
        <v>4</v>
      </c>
      <c r="AE14" s="7">
        <f>VLOOKUP(AD14,'Место-баллы'!$A$3:$E$52,2,0)</f>
        <v>85</v>
      </c>
      <c r="AF14" s="10"/>
      <c r="AG14" s="7">
        <v>16</v>
      </c>
      <c r="AH14" s="7">
        <v>5</v>
      </c>
      <c r="AI14" s="13">
        <f t="shared" si="11"/>
        <v>1.1168981481481481E-2</v>
      </c>
      <c r="AJ14" s="7">
        <v>230</v>
      </c>
      <c r="AK14" s="7">
        <f t="shared" si="12"/>
        <v>90</v>
      </c>
      <c r="AL14" s="13">
        <f t="shared" si="13"/>
        <v>1.2210648148148148E-2</v>
      </c>
      <c r="AM14" s="7">
        <f t="shared" si="14"/>
        <v>8</v>
      </c>
      <c r="AN14" s="7">
        <f>VLOOKUP(AM14,'Место-баллы'!$A$3:$E$52,2,0)</f>
        <v>71</v>
      </c>
    </row>
    <row r="15" spans="2:40" x14ac:dyDescent="0.25">
      <c r="B15" s="7">
        <f t="shared" si="0"/>
        <v>8</v>
      </c>
      <c r="C15" s="7">
        <f t="shared" si="1"/>
        <v>299</v>
      </c>
      <c r="D15" s="7">
        <f>VLOOKUP(B15,'Место-баллы'!$A$3:$E$52,5,0)</f>
        <v>39</v>
      </c>
      <c r="E15" s="10"/>
      <c r="F15" s="10" t="s">
        <v>147</v>
      </c>
      <c r="G15" s="10" t="s">
        <v>148</v>
      </c>
      <c r="H15" s="15"/>
      <c r="I15" s="10"/>
      <c r="J15" s="7">
        <v>85</v>
      </c>
      <c r="K15" s="7">
        <f t="shared" si="2"/>
        <v>12</v>
      </c>
      <c r="L15" s="7">
        <f>VLOOKUP(K15,'Место-баллы'!$A$3:$E$52,2,0)</f>
        <v>63</v>
      </c>
      <c r="M15" s="10"/>
      <c r="N15" s="7">
        <v>128</v>
      </c>
      <c r="O15" s="7"/>
      <c r="P15" s="7"/>
      <c r="Q15" s="13">
        <f t="shared" si="3"/>
        <v>0</v>
      </c>
      <c r="R15" s="7"/>
      <c r="S15" s="7">
        <f t="shared" si="4"/>
        <v>120</v>
      </c>
      <c r="T15" s="13">
        <f t="shared" si="5"/>
        <v>1.3888888888888889E-3</v>
      </c>
      <c r="U15" s="7">
        <f t="shared" si="6"/>
        <v>8</v>
      </c>
      <c r="V15" s="7">
        <f>VLOOKUP(U15,'Место-баллы'!$A$3:$E$52,2,0)</f>
        <v>71</v>
      </c>
      <c r="W15" s="10"/>
      <c r="X15" s="7">
        <v>8</v>
      </c>
      <c r="Y15" s="7">
        <v>18</v>
      </c>
      <c r="Z15" s="13">
        <f t="shared" si="7"/>
        <v>5.7638888888888887E-3</v>
      </c>
      <c r="AA15" s="7">
        <v>96</v>
      </c>
      <c r="AB15" s="7">
        <f t="shared" si="8"/>
        <v>0</v>
      </c>
      <c r="AC15" s="13">
        <f t="shared" si="9"/>
        <v>5.7638888888888887E-3</v>
      </c>
      <c r="AD15" s="7">
        <f t="shared" si="10"/>
        <v>3</v>
      </c>
      <c r="AE15" s="7">
        <f>VLOOKUP(AD15,'Место-баллы'!$A$3:$E$52,2,0)</f>
        <v>90</v>
      </c>
      <c r="AF15" s="10"/>
      <c r="AG15" s="7">
        <v>16</v>
      </c>
      <c r="AH15" s="7">
        <v>5</v>
      </c>
      <c r="AI15" s="13">
        <f t="shared" si="11"/>
        <v>1.1168981481481481E-2</v>
      </c>
      <c r="AJ15" s="7">
        <v>244</v>
      </c>
      <c r="AK15" s="7">
        <f t="shared" si="12"/>
        <v>76</v>
      </c>
      <c r="AL15" s="13">
        <f t="shared" si="13"/>
        <v>1.2048611111111111E-2</v>
      </c>
      <c r="AM15" s="7">
        <f t="shared" si="14"/>
        <v>6</v>
      </c>
      <c r="AN15" s="7">
        <f>VLOOKUP(AM15,'Место-баллы'!$A$3:$E$52,2,0)</f>
        <v>75</v>
      </c>
    </row>
    <row r="16" spans="2:40" x14ac:dyDescent="0.25">
      <c r="B16" s="7">
        <v>9</v>
      </c>
      <c r="C16" s="7">
        <f t="shared" si="1"/>
        <v>224</v>
      </c>
      <c r="D16" s="7">
        <f>VLOOKUP(B16,'Место-баллы'!$A$3:$E$52,5,0)</f>
        <v>38</v>
      </c>
      <c r="E16" s="10"/>
      <c r="F16" s="10" t="s">
        <v>129</v>
      </c>
      <c r="G16" s="10" t="s">
        <v>130</v>
      </c>
      <c r="H16" s="15"/>
      <c r="I16" s="10"/>
      <c r="J16" s="7">
        <v>102</v>
      </c>
      <c r="K16" s="7">
        <f t="shared" si="2"/>
        <v>7</v>
      </c>
      <c r="L16" s="7">
        <f>VLOOKUP(K16,'Место-баллы'!$A$3:$E$52,2,0)</f>
        <v>73</v>
      </c>
      <c r="M16" s="10"/>
      <c r="N16" s="7">
        <v>128</v>
      </c>
      <c r="O16" s="7"/>
      <c r="P16" s="7"/>
      <c r="Q16" s="13">
        <f t="shared" si="3"/>
        <v>0</v>
      </c>
      <c r="R16" s="7"/>
      <c r="S16" s="7">
        <f t="shared" si="4"/>
        <v>120</v>
      </c>
      <c r="T16" s="13">
        <f t="shared" si="5"/>
        <v>1.3888888888888889E-3</v>
      </c>
      <c r="U16" s="7">
        <f t="shared" si="6"/>
        <v>8</v>
      </c>
      <c r="V16" s="7">
        <f>VLOOKUP(U16,'Место-баллы'!$A$3:$E$52,2,0)</f>
        <v>71</v>
      </c>
      <c r="W16" s="10"/>
      <c r="X16" s="7">
        <v>9</v>
      </c>
      <c r="Y16" s="7">
        <v>4</v>
      </c>
      <c r="Z16" s="13">
        <f t="shared" si="7"/>
        <v>6.2962962962962964E-3</v>
      </c>
      <c r="AA16" s="7">
        <v>96</v>
      </c>
      <c r="AB16" s="7">
        <f t="shared" si="8"/>
        <v>0</v>
      </c>
      <c r="AC16" s="13">
        <f t="shared" si="9"/>
        <v>6.2962962962962964E-3</v>
      </c>
      <c r="AD16" s="7">
        <f t="shared" si="10"/>
        <v>5</v>
      </c>
      <c r="AE16" s="7">
        <f>VLOOKUP(AD16,'Место-баллы'!$A$3:$E$52,2,0)</f>
        <v>80</v>
      </c>
      <c r="AF16" s="10"/>
      <c r="AG16" s="7"/>
      <c r="AH16" s="7"/>
      <c r="AI16" s="13"/>
      <c r="AJ16" s="7"/>
      <c r="AK16" s="7"/>
      <c r="AL16" s="13"/>
      <c r="AM16" s="7"/>
      <c r="AN16" s="7">
        <v>0</v>
      </c>
    </row>
    <row r="17" spans="2:40" x14ac:dyDescent="0.25">
      <c r="B17" s="7">
        <f t="shared" ref="B17:B23" si="15">RANK(C17,C$8:C$23,0)</f>
        <v>10</v>
      </c>
      <c r="C17" s="7">
        <f t="shared" si="1"/>
        <v>201</v>
      </c>
      <c r="D17" s="7">
        <f>VLOOKUP(B17,'Место-баллы'!$A$3:$E$52,5,0)</f>
        <v>37</v>
      </c>
      <c r="E17" s="10"/>
      <c r="F17" s="10" t="s">
        <v>142</v>
      </c>
      <c r="G17" s="10" t="s">
        <v>49</v>
      </c>
      <c r="H17" s="15"/>
      <c r="I17" s="10"/>
      <c r="J17" s="7">
        <v>100</v>
      </c>
      <c r="K17" s="7">
        <f t="shared" si="2"/>
        <v>8</v>
      </c>
      <c r="L17" s="7">
        <f>VLOOKUP(K17,'Место-баллы'!$A$3:$E$52,2,0)</f>
        <v>71</v>
      </c>
      <c r="M17" s="10"/>
      <c r="N17" s="7">
        <v>125</v>
      </c>
      <c r="O17" s="7"/>
      <c r="P17" s="7"/>
      <c r="Q17" s="13">
        <f t="shared" si="3"/>
        <v>0</v>
      </c>
      <c r="R17" s="7"/>
      <c r="S17" s="7">
        <f t="shared" si="4"/>
        <v>120</v>
      </c>
      <c r="T17" s="13">
        <f t="shared" si="5"/>
        <v>1.3888888888888889E-3</v>
      </c>
      <c r="U17" s="7">
        <f t="shared" si="6"/>
        <v>11</v>
      </c>
      <c r="V17" s="7">
        <f>VLOOKUP(U17,'Место-баллы'!$A$3:$E$52,2,0)</f>
        <v>65</v>
      </c>
      <c r="W17" s="10"/>
      <c r="X17" s="7">
        <v>10</v>
      </c>
      <c r="Y17" s="7">
        <v>5</v>
      </c>
      <c r="Z17" s="13">
        <f t="shared" si="7"/>
        <v>7.0023148148148145E-3</v>
      </c>
      <c r="AA17" s="7">
        <v>71</v>
      </c>
      <c r="AB17" s="7">
        <f t="shared" si="8"/>
        <v>25</v>
      </c>
      <c r="AC17" s="13">
        <f t="shared" si="9"/>
        <v>7.2916666666666668E-3</v>
      </c>
      <c r="AD17" s="7">
        <f t="shared" si="10"/>
        <v>11</v>
      </c>
      <c r="AE17" s="7">
        <f>VLOOKUP(AD17,'Место-баллы'!$A$3:$E$52,2,0)</f>
        <v>65</v>
      </c>
      <c r="AF17" s="10"/>
      <c r="AG17" s="7"/>
      <c r="AH17" s="7"/>
      <c r="AI17" s="13"/>
      <c r="AJ17" s="7"/>
      <c r="AK17" s="7"/>
      <c r="AL17" s="13"/>
      <c r="AM17" s="7"/>
      <c r="AN17" s="7">
        <v>0</v>
      </c>
    </row>
    <row r="18" spans="2:40" x14ac:dyDescent="0.25">
      <c r="B18" s="7">
        <f t="shared" si="15"/>
        <v>11</v>
      </c>
      <c r="C18" s="7">
        <f t="shared" si="1"/>
        <v>189</v>
      </c>
      <c r="D18" s="7">
        <f>VLOOKUP(B18,'Место-баллы'!$A$3:$E$52,5,0)</f>
        <v>36</v>
      </c>
      <c r="E18" s="10"/>
      <c r="F18" s="10" t="s">
        <v>143</v>
      </c>
      <c r="G18" s="10" t="s">
        <v>49</v>
      </c>
      <c r="H18" s="15"/>
      <c r="I18" s="10"/>
      <c r="J18" s="7">
        <v>75</v>
      </c>
      <c r="K18" s="7">
        <f t="shared" si="2"/>
        <v>14</v>
      </c>
      <c r="L18" s="7">
        <f>VLOOKUP(K18,'Место-баллы'!$A$3:$E$52,2,0)</f>
        <v>59</v>
      </c>
      <c r="M18" s="10"/>
      <c r="N18" s="7">
        <v>120</v>
      </c>
      <c r="O18" s="7"/>
      <c r="P18" s="7"/>
      <c r="Q18" s="13">
        <f t="shared" si="3"/>
        <v>0</v>
      </c>
      <c r="R18" s="7"/>
      <c r="S18" s="7">
        <f t="shared" si="4"/>
        <v>120</v>
      </c>
      <c r="T18" s="13">
        <f t="shared" si="5"/>
        <v>1.3888888888888889E-3</v>
      </c>
      <c r="U18" s="7">
        <f t="shared" si="6"/>
        <v>12</v>
      </c>
      <c r="V18" s="7">
        <f>VLOOKUP(U18,'Место-баллы'!$A$3:$E$52,2,0)</f>
        <v>63</v>
      </c>
      <c r="W18" s="10"/>
      <c r="X18" s="7">
        <v>10</v>
      </c>
      <c r="Y18" s="7">
        <v>5</v>
      </c>
      <c r="Z18" s="13">
        <f t="shared" si="7"/>
        <v>7.0023148148148145E-3</v>
      </c>
      <c r="AA18" s="7">
        <v>78</v>
      </c>
      <c r="AB18" s="7">
        <f t="shared" si="8"/>
        <v>18</v>
      </c>
      <c r="AC18" s="13">
        <f t="shared" si="9"/>
        <v>7.2106481481481475E-3</v>
      </c>
      <c r="AD18" s="7">
        <f t="shared" si="10"/>
        <v>10</v>
      </c>
      <c r="AE18" s="7">
        <f>VLOOKUP(AD18,'Место-баллы'!$A$3:$E$52,2,0)</f>
        <v>67</v>
      </c>
      <c r="AF18" s="10"/>
      <c r="AG18" s="7"/>
      <c r="AH18" s="7"/>
      <c r="AI18" s="13"/>
      <c r="AJ18" s="7"/>
      <c r="AK18" s="7"/>
      <c r="AL18" s="13"/>
      <c r="AM18" s="7"/>
      <c r="AN18" s="7">
        <v>0</v>
      </c>
    </row>
    <row r="19" spans="2:40" x14ac:dyDescent="0.25">
      <c r="B19" s="7">
        <f t="shared" si="15"/>
        <v>12</v>
      </c>
      <c r="C19" s="7">
        <f t="shared" si="1"/>
        <v>187</v>
      </c>
      <c r="D19" s="7">
        <f>VLOOKUP(B19,'Место-баллы'!$A$3:$E$52,5,0)</f>
        <v>35</v>
      </c>
      <c r="E19" s="10"/>
      <c r="F19" s="10" t="s">
        <v>134</v>
      </c>
      <c r="G19" s="10" t="s">
        <v>49</v>
      </c>
      <c r="H19" s="15"/>
      <c r="I19" s="10"/>
      <c r="J19" s="7">
        <v>90</v>
      </c>
      <c r="K19" s="7">
        <f t="shared" si="2"/>
        <v>11</v>
      </c>
      <c r="L19" s="7">
        <f>VLOOKUP(K19,'Место-баллы'!$A$3:$E$52,2,0)</f>
        <v>65</v>
      </c>
      <c r="M19" s="10"/>
      <c r="N19" s="7">
        <v>120</v>
      </c>
      <c r="O19" s="7"/>
      <c r="P19" s="7"/>
      <c r="Q19" s="13">
        <f t="shared" si="3"/>
        <v>0</v>
      </c>
      <c r="R19" s="7"/>
      <c r="S19" s="7">
        <f t="shared" si="4"/>
        <v>120</v>
      </c>
      <c r="T19" s="13">
        <f t="shared" si="5"/>
        <v>1.3888888888888889E-3</v>
      </c>
      <c r="U19" s="7">
        <f t="shared" si="6"/>
        <v>12</v>
      </c>
      <c r="V19" s="7">
        <f>VLOOKUP(U19,'Место-баллы'!$A$3:$E$52,2,0)</f>
        <v>63</v>
      </c>
      <c r="W19" s="10"/>
      <c r="X19" s="7">
        <v>10</v>
      </c>
      <c r="Y19" s="7">
        <v>5</v>
      </c>
      <c r="Z19" s="13">
        <f t="shared" si="7"/>
        <v>7.0023148148148145E-3</v>
      </c>
      <c r="AA19" s="7">
        <f>24+7</f>
        <v>31</v>
      </c>
      <c r="AB19" s="7">
        <f t="shared" si="8"/>
        <v>65</v>
      </c>
      <c r="AC19" s="13">
        <f t="shared" si="9"/>
        <v>7.7546296296296295E-3</v>
      </c>
      <c r="AD19" s="7">
        <f t="shared" si="10"/>
        <v>14</v>
      </c>
      <c r="AE19" s="7">
        <f>VLOOKUP(AD19,'Место-баллы'!$A$3:$E$52,2,0)</f>
        <v>59</v>
      </c>
      <c r="AF19" s="10"/>
      <c r="AG19" s="7"/>
      <c r="AH19" s="7"/>
      <c r="AI19" s="13"/>
      <c r="AJ19" s="7"/>
      <c r="AK19" s="7"/>
      <c r="AL19" s="13"/>
      <c r="AM19" s="7"/>
      <c r="AN19" s="7">
        <v>0</v>
      </c>
    </row>
    <row r="20" spans="2:40" x14ac:dyDescent="0.25">
      <c r="B20" s="7">
        <f t="shared" si="15"/>
        <v>13</v>
      </c>
      <c r="C20" s="7">
        <f t="shared" si="1"/>
        <v>181</v>
      </c>
      <c r="D20" s="7">
        <f>VLOOKUP(B20,'Место-баллы'!$A$3:$E$52,5,0)</f>
        <v>34</v>
      </c>
      <c r="E20" s="10"/>
      <c r="F20" s="10" t="s">
        <v>132</v>
      </c>
      <c r="G20" s="10" t="s">
        <v>133</v>
      </c>
      <c r="H20" s="15"/>
      <c r="I20" s="10"/>
      <c r="J20" s="7">
        <v>80</v>
      </c>
      <c r="K20" s="7">
        <f t="shared" si="2"/>
        <v>13</v>
      </c>
      <c r="L20" s="7">
        <f>VLOOKUP(K20,'Место-баллы'!$A$3:$E$52,2,0)</f>
        <v>61</v>
      </c>
      <c r="M20" s="10"/>
      <c r="N20" s="7">
        <v>110</v>
      </c>
      <c r="O20" s="7"/>
      <c r="P20" s="7"/>
      <c r="Q20" s="13">
        <f t="shared" si="3"/>
        <v>0</v>
      </c>
      <c r="R20" s="7"/>
      <c r="S20" s="7">
        <f t="shared" si="4"/>
        <v>120</v>
      </c>
      <c r="T20" s="13">
        <f t="shared" si="5"/>
        <v>1.3888888888888889E-3</v>
      </c>
      <c r="U20" s="7">
        <f t="shared" si="6"/>
        <v>14</v>
      </c>
      <c r="V20" s="7">
        <f>VLOOKUP(U20,'Место-баллы'!$A$3:$E$52,2,0)</f>
        <v>59</v>
      </c>
      <c r="W20" s="10"/>
      <c r="X20" s="7">
        <v>10</v>
      </c>
      <c r="Y20" s="7">
        <v>5</v>
      </c>
      <c r="Z20" s="13">
        <f t="shared" si="7"/>
        <v>7.0023148148148145E-3</v>
      </c>
      <c r="AA20" s="7">
        <v>45</v>
      </c>
      <c r="AB20" s="7">
        <f t="shared" si="8"/>
        <v>51</v>
      </c>
      <c r="AC20" s="13">
        <f t="shared" si="9"/>
        <v>7.5925925925925926E-3</v>
      </c>
      <c r="AD20" s="7">
        <f t="shared" si="10"/>
        <v>13</v>
      </c>
      <c r="AE20" s="7">
        <f>VLOOKUP(AD20,'Место-баллы'!$A$3:$E$52,2,0)</f>
        <v>61</v>
      </c>
      <c r="AF20" s="10"/>
      <c r="AG20" s="7"/>
      <c r="AH20" s="7"/>
      <c r="AI20" s="13"/>
      <c r="AJ20" s="7"/>
      <c r="AK20" s="7"/>
      <c r="AL20" s="13"/>
      <c r="AM20" s="7"/>
      <c r="AN20" s="7">
        <v>0</v>
      </c>
    </row>
    <row r="21" spans="2:40" x14ac:dyDescent="0.25">
      <c r="B21" s="7">
        <f t="shared" si="15"/>
        <v>14</v>
      </c>
      <c r="C21" s="7">
        <f t="shared" si="1"/>
        <v>177</v>
      </c>
      <c r="D21" s="7">
        <f>VLOOKUP(B21,'Место-баллы'!$A$3:$E$52,5,0)</f>
        <v>33</v>
      </c>
      <c r="E21" s="10"/>
      <c r="F21" s="10" t="s">
        <v>139</v>
      </c>
      <c r="G21" s="10" t="s">
        <v>64</v>
      </c>
      <c r="H21" s="15"/>
      <c r="I21" s="10"/>
      <c r="J21" s="7">
        <v>65</v>
      </c>
      <c r="K21" s="7">
        <f t="shared" si="2"/>
        <v>15</v>
      </c>
      <c r="L21" s="7">
        <f>VLOOKUP(K21,'Место-баллы'!$A$3:$E$52,2,0)</f>
        <v>57</v>
      </c>
      <c r="M21" s="10"/>
      <c r="N21" s="7">
        <v>80</v>
      </c>
      <c r="O21" s="7"/>
      <c r="P21" s="7"/>
      <c r="Q21" s="13">
        <f t="shared" si="3"/>
        <v>0</v>
      </c>
      <c r="R21" s="7"/>
      <c r="S21" s="7">
        <f t="shared" si="4"/>
        <v>120</v>
      </c>
      <c r="T21" s="13">
        <f t="shared" si="5"/>
        <v>1.3888888888888889E-3</v>
      </c>
      <c r="U21" s="7">
        <f t="shared" si="6"/>
        <v>15</v>
      </c>
      <c r="V21" s="7">
        <f>VLOOKUP(U21,'Место-баллы'!$A$3:$E$52,2,0)</f>
        <v>57</v>
      </c>
      <c r="W21" s="10"/>
      <c r="X21" s="7">
        <v>10</v>
      </c>
      <c r="Y21" s="7">
        <v>5</v>
      </c>
      <c r="Z21" s="13">
        <f t="shared" si="7"/>
        <v>7.0023148148148145E-3</v>
      </c>
      <c r="AA21" s="7">
        <v>51</v>
      </c>
      <c r="AB21" s="7">
        <f t="shared" si="8"/>
        <v>45</v>
      </c>
      <c r="AC21" s="13">
        <f t="shared" si="9"/>
        <v>7.5231481481481477E-3</v>
      </c>
      <c r="AD21" s="7">
        <f t="shared" si="10"/>
        <v>12</v>
      </c>
      <c r="AE21" s="7">
        <f>VLOOKUP(AD21,'Место-баллы'!$A$3:$E$52,2,0)</f>
        <v>63</v>
      </c>
      <c r="AF21" s="10"/>
      <c r="AG21" s="7"/>
      <c r="AH21" s="7"/>
      <c r="AI21" s="13"/>
      <c r="AJ21" s="7"/>
      <c r="AK21" s="7"/>
      <c r="AL21" s="13"/>
      <c r="AM21" s="7"/>
      <c r="AN21" s="7">
        <v>0</v>
      </c>
    </row>
    <row r="22" spans="2:40" x14ac:dyDescent="0.25">
      <c r="B22" s="7">
        <f t="shared" si="15"/>
        <v>15</v>
      </c>
      <c r="C22" s="7">
        <f t="shared" si="1"/>
        <v>167</v>
      </c>
      <c r="D22" s="7">
        <f>VLOOKUP(B22,'Место-баллы'!$A$3:$E$52,5,0)</f>
        <v>32</v>
      </c>
      <c r="E22" s="10"/>
      <c r="F22" s="10" t="s">
        <v>136</v>
      </c>
      <c r="G22" s="10" t="s">
        <v>64</v>
      </c>
      <c r="H22" s="15"/>
      <c r="I22" s="10"/>
      <c r="J22" s="7">
        <v>51</v>
      </c>
      <c r="K22" s="7">
        <f t="shared" si="2"/>
        <v>16</v>
      </c>
      <c r="L22" s="7">
        <f>VLOOKUP(K22,'Место-баллы'!$A$3:$E$52,2,0)</f>
        <v>55</v>
      </c>
      <c r="M22" s="10"/>
      <c r="N22" s="7">
        <v>66</v>
      </c>
      <c r="O22" s="7"/>
      <c r="P22" s="7"/>
      <c r="Q22" s="13">
        <f t="shared" si="3"/>
        <v>0</v>
      </c>
      <c r="R22" s="7"/>
      <c r="S22" s="7">
        <f t="shared" si="4"/>
        <v>120</v>
      </c>
      <c r="T22" s="13">
        <f t="shared" si="5"/>
        <v>1.3888888888888889E-3</v>
      </c>
      <c r="U22" s="7">
        <f t="shared" si="6"/>
        <v>16</v>
      </c>
      <c r="V22" s="7">
        <f>VLOOKUP(U22,'Место-баллы'!$A$3:$E$52,2,0)</f>
        <v>55</v>
      </c>
      <c r="W22" s="10"/>
      <c r="X22" s="7">
        <v>10</v>
      </c>
      <c r="Y22" s="7">
        <v>5</v>
      </c>
      <c r="Z22" s="13">
        <f t="shared" si="7"/>
        <v>7.0023148148148145E-3</v>
      </c>
      <c r="AA22" s="7">
        <v>25</v>
      </c>
      <c r="AB22" s="7">
        <f t="shared" si="8"/>
        <v>71</v>
      </c>
      <c r="AC22" s="13">
        <f t="shared" si="9"/>
        <v>7.8240740740740736E-3</v>
      </c>
      <c r="AD22" s="7">
        <f t="shared" si="10"/>
        <v>15</v>
      </c>
      <c r="AE22" s="7">
        <f>VLOOKUP(AD22,'Место-баллы'!$A$3:$E$52,2,0)</f>
        <v>57</v>
      </c>
      <c r="AF22" s="10"/>
      <c r="AG22" s="7"/>
      <c r="AH22" s="7"/>
      <c r="AI22" s="13"/>
      <c r="AJ22" s="7"/>
      <c r="AK22" s="7"/>
      <c r="AL22" s="13"/>
      <c r="AM22" s="7"/>
      <c r="AN22" s="7">
        <v>0</v>
      </c>
    </row>
    <row r="23" spans="2:40" x14ac:dyDescent="0.25">
      <c r="B23" s="7">
        <f t="shared" si="15"/>
        <v>16</v>
      </c>
      <c r="C23" s="7">
        <f t="shared" si="1"/>
        <v>146</v>
      </c>
      <c r="D23" s="7">
        <f>VLOOKUP(B23,'Место-баллы'!$A$3:$E$52,5,0)</f>
        <v>31</v>
      </c>
      <c r="E23" s="10"/>
      <c r="F23" s="10" t="s">
        <v>137</v>
      </c>
      <c r="G23" s="10" t="s">
        <v>138</v>
      </c>
      <c r="H23" s="15"/>
      <c r="I23" s="10"/>
      <c r="J23" s="7">
        <v>105</v>
      </c>
      <c r="K23" s="7">
        <f t="shared" si="2"/>
        <v>6</v>
      </c>
      <c r="L23" s="7">
        <f>VLOOKUP(K23,'Место-баллы'!$A$3:$E$52,2,0)</f>
        <v>75</v>
      </c>
      <c r="M23" s="10"/>
      <c r="N23" s="7">
        <v>128</v>
      </c>
      <c r="O23" s="7"/>
      <c r="P23" s="7"/>
      <c r="Q23" s="13">
        <f t="shared" si="3"/>
        <v>0</v>
      </c>
      <c r="R23" s="7"/>
      <c r="S23" s="7">
        <f t="shared" si="4"/>
        <v>120</v>
      </c>
      <c r="T23" s="13">
        <f t="shared" si="5"/>
        <v>1.3888888888888889E-3</v>
      </c>
      <c r="U23" s="7">
        <f t="shared" si="6"/>
        <v>8</v>
      </c>
      <c r="V23" s="7">
        <f>VLOOKUP(U23,'Место-баллы'!$A$3:$E$52,2,0)</f>
        <v>71</v>
      </c>
      <c r="W23" s="10"/>
      <c r="X23" s="19"/>
      <c r="Y23" s="19"/>
      <c r="Z23" s="20"/>
      <c r="AA23" s="19"/>
      <c r="AB23" s="19"/>
      <c r="AC23" s="20"/>
      <c r="AD23" s="19"/>
      <c r="AE23" s="21">
        <v>0</v>
      </c>
      <c r="AF23" s="10"/>
      <c r="AG23" s="7"/>
      <c r="AH23" s="7"/>
      <c r="AI23" s="13"/>
      <c r="AJ23" s="7"/>
      <c r="AK23" s="7"/>
      <c r="AL23" s="13"/>
      <c r="AM23" s="7"/>
      <c r="AN23" s="7">
        <v>0</v>
      </c>
    </row>
    <row r="24" spans="2:40" ht="15.75" customHeight="1" x14ac:dyDescent="0.25"/>
    <row r="25" spans="2:40" ht="15.75" customHeight="1" x14ac:dyDescent="0.25"/>
    <row r="26" spans="2:40" ht="15.75" customHeight="1" x14ac:dyDescent="0.25"/>
    <row r="27" spans="2:40" ht="15.75" customHeight="1" x14ac:dyDescent="0.25"/>
    <row r="28" spans="2:40" ht="15.75" customHeight="1" x14ac:dyDescent="0.25"/>
    <row r="29" spans="2:40" ht="15.75" customHeight="1" x14ac:dyDescent="0.25"/>
    <row r="30" spans="2:40" ht="15.75" customHeight="1" x14ac:dyDescent="0.25"/>
    <row r="31" spans="2:40" ht="15.75" customHeight="1" x14ac:dyDescent="0.25"/>
    <row r="32" spans="2:4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</sheetData>
  <autoFilter ref="B7:AN7" xr:uid="{D529E903-D6D4-4953-98D9-990DFF2AE683}">
    <sortState xmlns:xlrd2="http://schemas.microsoft.com/office/spreadsheetml/2017/richdata2" ref="B8:AN23">
      <sortCondition ref="B7"/>
    </sortState>
  </autoFilter>
  <mergeCells count="6">
    <mergeCell ref="AG5:AN6"/>
    <mergeCell ref="B5:D6"/>
    <mergeCell ref="F5:H6"/>
    <mergeCell ref="J5:L6"/>
    <mergeCell ref="X5:AE6"/>
    <mergeCell ref="N5:V6"/>
  </mergeCells>
  <conditionalFormatting sqref="F8:F23">
    <cfRule type="duplicateValues" dxfId="8" priority="13"/>
  </conditionalFormatting>
  <printOptions horizontalCentered="1" verticalCentered="1"/>
  <pageMargins left="0" right="0" top="0" bottom="0" header="0" footer="0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B3B1-21FF-4FFF-8679-B131654EA662}">
  <sheetPr>
    <pageSetUpPr fitToPage="1"/>
  </sheetPr>
  <dimension ref="B1:AM44"/>
  <sheetViews>
    <sheetView zoomScaleNormal="10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G16" sqref="G16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19" bestFit="1" customWidth="1"/>
    <col min="7" max="7" width="24.710937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customWidth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7.42578125" customWidth="1"/>
    <col min="20" max="20" width="7.140625" customWidth="1"/>
    <col min="21" max="21" width="6.85546875" customWidth="1"/>
    <col min="22" max="22" width="1.42578125" customWidth="1"/>
    <col min="23" max="23" width="5.140625" hidden="1" customWidth="1" outlineLevel="1"/>
    <col min="24" max="24" width="4.28515625" hidden="1" customWidth="1" outlineLevel="1"/>
    <col min="25" max="25" width="7.140625" customWidth="1" collapsed="1"/>
    <col min="26" max="26" width="6.85546875" customWidth="1"/>
    <col min="27" max="27" width="7.85546875" hidden="1" customWidth="1" outlineLevel="1"/>
    <col min="28" max="28" width="7.140625" hidden="1" customWidth="1" outlineLevel="1"/>
    <col min="29" max="29" width="7.140625" customWidth="1" collapsed="1"/>
    <col min="30" max="30" width="6.85546875" customWidth="1"/>
    <col min="31" max="31" width="1.42578125" customWidth="1"/>
    <col min="32" max="32" width="5.140625" hidden="1" customWidth="1" outlineLevel="1"/>
    <col min="33" max="33" width="4.28515625" hidden="1" customWidth="1" outlineLevel="1"/>
    <col min="34" max="34" width="7.140625" customWidth="1" collapsed="1"/>
    <col min="35" max="35" width="6.85546875" hidden="1" customWidth="1" outlineLevel="1"/>
    <col min="36" max="36" width="7.85546875" hidden="1" customWidth="1" outlineLevel="1"/>
    <col min="37" max="37" width="7.140625" hidden="1" customWidth="1" outlineLevel="1"/>
    <col min="38" max="38" width="7.140625" customWidth="1" collapsed="1"/>
    <col min="39" max="39" width="6.85546875" customWidth="1"/>
  </cols>
  <sheetData>
    <row r="1" spans="2:39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4">
        <v>1</v>
      </c>
      <c r="W1" s="3"/>
      <c r="X1" s="3"/>
      <c r="Y1" s="3"/>
      <c r="Z1" s="3"/>
      <c r="AA1" s="3"/>
      <c r="AB1" s="3"/>
      <c r="AC1" s="3"/>
      <c r="AD1" s="4">
        <v>1</v>
      </c>
      <c r="AF1" s="3"/>
      <c r="AG1" s="3"/>
      <c r="AH1" s="3"/>
      <c r="AI1" s="3"/>
      <c r="AJ1" s="3"/>
      <c r="AK1" s="3"/>
      <c r="AL1" s="3"/>
      <c r="AM1" s="4">
        <v>1</v>
      </c>
    </row>
    <row r="2" spans="2:39" x14ac:dyDescent="0.25">
      <c r="F2" s="12"/>
      <c r="G2" s="12"/>
      <c r="H2" s="12"/>
      <c r="J2" s="3"/>
      <c r="K2" s="3"/>
      <c r="L2" s="3"/>
      <c r="M2" s="5">
        <f>3*(20+20+100)</f>
        <v>420</v>
      </c>
      <c r="N2" s="3"/>
      <c r="O2" s="3"/>
      <c r="P2" s="3"/>
      <c r="Q2" s="3"/>
      <c r="S2" s="3"/>
      <c r="T2" s="3"/>
      <c r="U2" s="3"/>
      <c r="W2" s="3"/>
      <c r="X2" s="3"/>
      <c r="Y2" s="3"/>
      <c r="Z2" s="5">
        <f>9+7+5+15*3+9*3</f>
        <v>93</v>
      </c>
      <c r="AA2" s="3"/>
      <c r="AB2" s="3"/>
      <c r="AC2" s="3"/>
      <c r="AD2" s="3"/>
      <c r="AF2" s="3"/>
      <c r="AG2" s="3"/>
      <c r="AH2" s="3"/>
      <c r="AI2" s="5">
        <f>100+80+60+40+20</f>
        <v>300</v>
      </c>
      <c r="AJ2" s="3"/>
      <c r="AK2" s="3"/>
      <c r="AL2" s="3"/>
      <c r="AM2" s="3"/>
    </row>
    <row r="3" spans="2:39" x14ac:dyDescent="0.25">
      <c r="F3" s="12"/>
      <c r="G3" s="12"/>
      <c r="H3" s="12"/>
      <c r="J3" s="3"/>
      <c r="K3" s="3"/>
      <c r="L3" s="3"/>
      <c r="M3" s="6" t="s">
        <v>23</v>
      </c>
      <c r="N3" s="3"/>
      <c r="O3" s="3"/>
      <c r="P3" s="3"/>
      <c r="Q3" s="3"/>
      <c r="S3" s="6"/>
      <c r="T3" s="3"/>
      <c r="U3" s="3"/>
      <c r="W3" s="3"/>
      <c r="X3" s="3"/>
      <c r="Y3" s="3"/>
      <c r="Z3" s="6" t="s">
        <v>22</v>
      </c>
      <c r="AA3" s="3"/>
      <c r="AB3" s="3"/>
      <c r="AC3" s="3"/>
      <c r="AD3" s="3"/>
      <c r="AF3" s="3"/>
      <c r="AG3" s="3"/>
      <c r="AH3" s="3"/>
      <c r="AI3" s="6" t="s">
        <v>46</v>
      </c>
      <c r="AJ3" s="3"/>
      <c r="AK3" s="3"/>
      <c r="AL3" s="3"/>
      <c r="AM3" s="3"/>
    </row>
    <row r="4" spans="2:39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  <c r="AL4" s="3"/>
      <c r="AM4" s="3"/>
    </row>
    <row r="5" spans="2:39" ht="15" customHeight="1" x14ac:dyDescent="0.25">
      <c r="B5" s="24" t="s">
        <v>4</v>
      </c>
      <c r="C5" s="25"/>
      <c r="D5" s="26"/>
      <c r="E5" s="7"/>
      <c r="F5" s="24" t="s">
        <v>39</v>
      </c>
      <c r="G5" s="25"/>
      <c r="H5" s="26"/>
      <c r="I5" s="7"/>
      <c r="J5" s="24" t="s">
        <v>27</v>
      </c>
      <c r="K5" s="25"/>
      <c r="L5" s="25"/>
      <c r="M5" s="25"/>
      <c r="N5" s="25"/>
      <c r="O5" s="25"/>
      <c r="P5" s="25"/>
      <c r="Q5" s="26"/>
      <c r="R5" s="7"/>
      <c r="S5" s="25" t="s">
        <v>28</v>
      </c>
      <c r="T5" s="25"/>
      <c r="U5" s="26"/>
      <c r="V5" s="7"/>
      <c r="W5" s="24" t="s">
        <v>19</v>
      </c>
      <c r="X5" s="25"/>
      <c r="Y5" s="25"/>
      <c r="Z5" s="25"/>
      <c r="AA5" s="25"/>
      <c r="AB5" s="25"/>
      <c r="AC5" s="25"/>
      <c r="AD5" s="26"/>
      <c r="AE5" s="7"/>
      <c r="AF5" s="24" t="s">
        <v>5</v>
      </c>
      <c r="AG5" s="25"/>
      <c r="AH5" s="25"/>
      <c r="AI5" s="25"/>
      <c r="AJ5" s="25"/>
      <c r="AK5" s="25"/>
      <c r="AL5" s="25"/>
      <c r="AM5" s="26"/>
    </row>
    <row r="6" spans="2:39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8"/>
      <c r="T6" s="28"/>
      <c r="U6" s="29"/>
      <c r="V6" s="8"/>
      <c r="W6" s="27"/>
      <c r="X6" s="28"/>
      <c r="Y6" s="28"/>
      <c r="Z6" s="28"/>
      <c r="AA6" s="28"/>
      <c r="AB6" s="28"/>
      <c r="AC6" s="28"/>
      <c r="AD6" s="29"/>
      <c r="AE6" s="8"/>
      <c r="AF6" s="27"/>
      <c r="AG6" s="28"/>
      <c r="AH6" s="28"/>
      <c r="AI6" s="28"/>
      <c r="AJ6" s="28"/>
      <c r="AK6" s="28"/>
      <c r="AL6" s="28"/>
      <c r="AM6" s="29"/>
    </row>
    <row r="7" spans="2:39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6" t="s">
        <v>25</v>
      </c>
      <c r="T7" s="11" t="s">
        <v>12</v>
      </c>
      <c r="U7" s="11" t="s">
        <v>13</v>
      </c>
      <c r="V7" s="9"/>
      <c r="W7" s="11" t="s">
        <v>9</v>
      </c>
      <c r="X7" s="11" t="s">
        <v>10</v>
      </c>
      <c r="Y7" s="11" t="s">
        <v>11</v>
      </c>
      <c r="Z7" s="16" t="s">
        <v>14</v>
      </c>
      <c r="AA7" s="11" t="s">
        <v>15</v>
      </c>
      <c r="AB7" s="11" t="s">
        <v>11</v>
      </c>
      <c r="AC7" s="11" t="s">
        <v>12</v>
      </c>
      <c r="AD7" s="11" t="s">
        <v>13</v>
      </c>
      <c r="AE7" s="9"/>
      <c r="AF7" s="11" t="s">
        <v>9</v>
      </c>
      <c r="AG7" s="11" t="s">
        <v>10</v>
      </c>
      <c r="AH7" s="11" t="s">
        <v>11</v>
      </c>
      <c r="AI7" s="16" t="s">
        <v>14</v>
      </c>
      <c r="AJ7" s="11" t="s">
        <v>15</v>
      </c>
      <c r="AK7" s="11" t="s">
        <v>11</v>
      </c>
      <c r="AL7" s="11" t="s">
        <v>12</v>
      </c>
      <c r="AM7" s="11" t="s">
        <v>13</v>
      </c>
    </row>
    <row r="8" spans="2:39" x14ac:dyDescent="0.25">
      <c r="B8" s="7">
        <f>RANK(C8,C$8:C$12,0)</f>
        <v>1</v>
      </c>
      <c r="C8" s="7">
        <f>SUMIF($I$1:$AM$1,1,$I8:$AM8)</f>
        <v>395</v>
      </c>
      <c r="D8" s="7">
        <f>VLOOKUP(B8,'Место-баллы'!$A$3:$E$52,5,0)</f>
        <v>50</v>
      </c>
      <c r="E8" s="10"/>
      <c r="F8" s="10" t="s">
        <v>154</v>
      </c>
      <c r="G8" s="10" t="s">
        <v>59</v>
      </c>
      <c r="H8" s="15"/>
      <c r="I8" s="10"/>
      <c r="J8" s="7">
        <v>8</v>
      </c>
      <c r="K8" s="7">
        <v>10</v>
      </c>
      <c r="L8" s="13">
        <f>TIME(0,J8,K8)</f>
        <v>5.6712962962962967E-3</v>
      </c>
      <c r="M8" s="7">
        <v>420</v>
      </c>
      <c r="N8" s="7">
        <f>M$2-M8</f>
        <v>0</v>
      </c>
      <c r="O8" s="13">
        <f>L8+TIME(0,0,N8)</f>
        <v>5.6712962962962967E-3</v>
      </c>
      <c r="P8" s="7">
        <f>RANK(O8,O$8:O$12,1)</f>
        <v>1</v>
      </c>
      <c r="Q8" s="7">
        <f>VLOOKUP(P8,'Место-баллы'!$A$3:$E$52,2,0)</f>
        <v>100</v>
      </c>
      <c r="R8" s="10"/>
      <c r="S8" s="7">
        <v>190</v>
      </c>
      <c r="T8" s="7">
        <f>RANK(S8,S$8:S$12,0)</f>
        <v>1</v>
      </c>
      <c r="U8" s="7">
        <f>VLOOKUP(T8,'Место-баллы'!$A$3:$E$52,2,0)</f>
        <v>100</v>
      </c>
      <c r="V8" s="10"/>
      <c r="W8" s="7">
        <v>9</v>
      </c>
      <c r="X8" s="7">
        <v>37</v>
      </c>
      <c r="Y8" s="13">
        <f>TIME(0,W8,X8)</f>
        <v>6.6782407407407407E-3</v>
      </c>
      <c r="Z8" s="7">
        <v>93</v>
      </c>
      <c r="AA8" s="7">
        <f>Z$2-Z8</f>
        <v>0</v>
      </c>
      <c r="AB8" s="13">
        <f>Y8+TIME(0,0,AA8)</f>
        <v>6.6782407407407407E-3</v>
      </c>
      <c r="AC8" s="7">
        <f>RANK(AB8,AB$8:AB$12,1)</f>
        <v>1</v>
      </c>
      <c r="AD8" s="7">
        <f>VLOOKUP(AC8,'Место-баллы'!$A$3:$E$52,2,0)</f>
        <v>100</v>
      </c>
      <c r="AE8" s="10"/>
      <c r="AF8" s="7">
        <v>12</v>
      </c>
      <c r="AG8" s="7">
        <v>45</v>
      </c>
      <c r="AH8" s="13">
        <f>TIME(0,AF8,AG8)</f>
        <v>8.8541666666666664E-3</v>
      </c>
      <c r="AI8" s="7">
        <v>300</v>
      </c>
      <c r="AJ8" s="7">
        <f>AI$2-AI8</f>
        <v>0</v>
      </c>
      <c r="AK8" s="13">
        <f>AH8+TIME(0,0,AJ8)</f>
        <v>8.8541666666666664E-3</v>
      </c>
      <c r="AL8" s="7">
        <f>RANK(AK8,AK$8:AK$12,1)</f>
        <v>2</v>
      </c>
      <c r="AM8" s="7">
        <f>VLOOKUP(AL8,'Место-баллы'!$A$3:$E$52,2,0)</f>
        <v>95</v>
      </c>
    </row>
    <row r="9" spans="2:39" x14ac:dyDescent="0.25">
      <c r="B9" s="7">
        <f>RANK(C9,C$8:C$12,0)</f>
        <v>2</v>
      </c>
      <c r="C9" s="7">
        <f>SUMIF($I$1:$AM$1,1,$I9:$AM9)</f>
        <v>380</v>
      </c>
      <c r="D9" s="7">
        <f>VLOOKUP(B9,'Место-баллы'!$A$3:$E$52,5,0)</f>
        <v>48</v>
      </c>
      <c r="E9" s="10"/>
      <c r="F9" s="10" t="s">
        <v>151</v>
      </c>
      <c r="G9" s="10" t="s">
        <v>152</v>
      </c>
      <c r="H9" s="15"/>
      <c r="I9" s="10"/>
      <c r="J9" s="7">
        <v>9</v>
      </c>
      <c r="K9" s="7">
        <v>5</v>
      </c>
      <c r="L9" s="13">
        <f>TIME(0,J9,K9)</f>
        <v>6.3078703703703708E-3</v>
      </c>
      <c r="M9" s="7">
        <f>320+96</f>
        <v>416</v>
      </c>
      <c r="N9" s="7">
        <f>M$2-M9</f>
        <v>4</v>
      </c>
      <c r="O9" s="13">
        <f>L9+TIME(0,0,N9)</f>
        <v>6.3541666666666668E-3</v>
      </c>
      <c r="P9" s="7">
        <f>RANK(O9,O$8:O$12,1)</f>
        <v>3</v>
      </c>
      <c r="Q9" s="7">
        <f>VLOOKUP(P9,'Место-баллы'!$A$3:$E$52,2,0)</f>
        <v>90</v>
      </c>
      <c r="R9" s="10"/>
      <c r="S9" s="7">
        <f>82+105</f>
        <v>187</v>
      </c>
      <c r="T9" s="7">
        <f>RANK(S9,S$8:S$12,0)</f>
        <v>2</v>
      </c>
      <c r="U9" s="7">
        <f>VLOOKUP(T9,'Место-баллы'!$A$3:$E$52,2,0)</f>
        <v>95</v>
      </c>
      <c r="V9" s="10"/>
      <c r="W9" s="7">
        <v>10</v>
      </c>
      <c r="X9" s="7">
        <v>52</v>
      </c>
      <c r="Y9" s="13">
        <f>TIME(0,W9,X9)</f>
        <v>7.5462962962962966E-3</v>
      </c>
      <c r="Z9" s="7">
        <v>93</v>
      </c>
      <c r="AA9" s="7">
        <f>Z$2-Z9</f>
        <v>0</v>
      </c>
      <c r="AB9" s="13">
        <f>Y9+TIME(0,0,AA9)</f>
        <v>7.5462962962962966E-3</v>
      </c>
      <c r="AC9" s="7">
        <f>RANK(AB9,AB$8:AB$12,1)</f>
        <v>2</v>
      </c>
      <c r="AD9" s="7">
        <f>VLOOKUP(AC9,'Место-баллы'!$A$3:$E$52,2,0)</f>
        <v>95</v>
      </c>
      <c r="AE9" s="10"/>
      <c r="AF9" s="7">
        <v>12</v>
      </c>
      <c r="AG9" s="7">
        <v>29</v>
      </c>
      <c r="AH9" s="13">
        <f>TIME(0,AF9,AG9)</f>
        <v>8.6689814814814806E-3</v>
      </c>
      <c r="AI9" s="7">
        <v>300</v>
      </c>
      <c r="AJ9" s="7">
        <f>AI$2-AI9</f>
        <v>0</v>
      </c>
      <c r="AK9" s="13">
        <f>AH9+TIME(0,0,AJ9)</f>
        <v>8.6689814814814806E-3</v>
      </c>
      <c r="AL9" s="7">
        <f>RANK(AK9,AK$8:AK$12,1)</f>
        <v>1</v>
      </c>
      <c r="AM9" s="7">
        <f>VLOOKUP(AL9,'Место-баллы'!$A$3:$E$52,2,0)</f>
        <v>100</v>
      </c>
    </row>
    <row r="10" spans="2:39" x14ac:dyDescent="0.25">
      <c r="B10" s="7">
        <f>RANK(C10,C$8:C$12,0)</f>
        <v>3</v>
      </c>
      <c r="C10" s="7">
        <f>SUMIF($I$1:$AM$1,1,$I10:$AM10)</f>
        <v>365</v>
      </c>
      <c r="D10" s="7">
        <f>VLOOKUP(B10,'Место-баллы'!$A$3:$E$52,5,0)</f>
        <v>46</v>
      </c>
      <c r="E10" s="10"/>
      <c r="F10" s="10" t="s">
        <v>153</v>
      </c>
      <c r="G10" s="10" t="s">
        <v>116</v>
      </c>
      <c r="H10" s="15"/>
      <c r="I10" s="10"/>
      <c r="J10" s="7">
        <v>8</v>
      </c>
      <c r="K10" s="7">
        <v>43</v>
      </c>
      <c r="L10" s="13">
        <f>TIME(0,J10,K10)</f>
        <v>6.053240740740741E-3</v>
      </c>
      <c r="M10" s="7">
        <v>420</v>
      </c>
      <c r="N10" s="7">
        <f>M$2-M10</f>
        <v>0</v>
      </c>
      <c r="O10" s="13">
        <f>L10+TIME(0,0,N10)</f>
        <v>6.053240740740741E-3</v>
      </c>
      <c r="P10" s="7">
        <f>RANK(O10,O$8:O$12,1)</f>
        <v>2</v>
      </c>
      <c r="Q10" s="7">
        <f>VLOOKUP(P10,'Место-баллы'!$A$3:$E$52,2,0)</f>
        <v>95</v>
      </c>
      <c r="R10" s="10"/>
      <c r="S10" s="7">
        <f>70+112</f>
        <v>182</v>
      </c>
      <c r="T10" s="7">
        <f>RANK(S10,S$8:S$12,0)</f>
        <v>3</v>
      </c>
      <c r="U10" s="7">
        <f>VLOOKUP(T10,'Место-баллы'!$A$3:$E$52,2,0)</f>
        <v>90</v>
      </c>
      <c r="V10" s="10"/>
      <c r="W10" s="7">
        <v>12</v>
      </c>
      <c r="X10" s="7">
        <v>5</v>
      </c>
      <c r="Y10" s="13">
        <f>TIME(0,W10,X10)</f>
        <v>8.3912037037037045E-3</v>
      </c>
      <c r="Z10" s="7">
        <v>85</v>
      </c>
      <c r="AA10" s="7">
        <f>Z$2-Z10</f>
        <v>8</v>
      </c>
      <c r="AB10" s="13">
        <f>Y10+TIME(0,0,AA10)</f>
        <v>8.4837962962962966E-3</v>
      </c>
      <c r="AC10" s="7">
        <f>RANK(AB10,AB$8:AB$12,1)</f>
        <v>3</v>
      </c>
      <c r="AD10" s="7">
        <f>VLOOKUP(AC10,'Место-баллы'!$A$3:$E$52,2,0)</f>
        <v>90</v>
      </c>
      <c r="AE10" s="10"/>
      <c r="AF10" s="7">
        <v>14</v>
      </c>
      <c r="AG10" s="7">
        <v>19</v>
      </c>
      <c r="AH10" s="13">
        <f>TIME(0,AF10,AG10)</f>
        <v>9.9421296296296289E-3</v>
      </c>
      <c r="AI10" s="7">
        <v>300</v>
      </c>
      <c r="AJ10" s="7">
        <f>AI$2-AI10</f>
        <v>0</v>
      </c>
      <c r="AK10" s="13">
        <f>AH10+TIME(0,0,AJ10)</f>
        <v>9.9421296296296289E-3</v>
      </c>
      <c r="AL10" s="7">
        <f>RANK(AK10,AK$8:AK$12,1)</f>
        <v>3</v>
      </c>
      <c r="AM10" s="7">
        <f>VLOOKUP(AL10,'Место-баллы'!$A$3:$E$52,2,0)</f>
        <v>90</v>
      </c>
    </row>
    <row r="11" spans="2:39" x14ac:dyDescent="0.25">
      <c r="B11" s="7">
        <f>RANK(C11,C$8:C$12,0)</f>
        <v>4</v>
      </c>
      <c r="C11" s="7">
        <f>SUMIF($I$1:$AM$1,1,$I11:$AM11)</f>
        <v>330</v>
      </c>
      <c r="D11" s="7">
        <f>VLOOKUP(B11,'Место-баллы'!$A$3:$E$52,5,0)</f>
        <v>44</v>
      </c>
      <c r="E11" s="10"/>
      <c r="F11" s="10" t="s">
        <v>156</v>
      </c>
      <c r="G11" s="10" t="s">
        <v>157</v>
      </c>
      <c r="H11" s="15"/>
      <c r="I11" s="10"/>
      <c r="J11" s="7">
        <v>9</v>
      </c>
      <c r="K11" s="7">
        <v>5</v>
      </c>
      <c r="L11" s="13">
        <f>TIME(0,J11,K11)</f>
        <v>6.3078703703703708E-3</v>
      </c>
      <c r="M11" s="7">
        <f>280+17</f>
        <v>297</v>
      </c>
      <c r="N11" s="7">
        <f>M$2-M11</f>
        <v>123</v>
      </c>
      <c r="O11" s="13">
        <f>L11+TIME(0,0,N11)</f>
        <v>7.7314814814814815E-3</v>
      </c>
      <c r="P11" s="7">
        <f>RANK(O11,O$8:O$12,1)</f>
        <v>5</v>
      </c>
      <c r="Q11" s="7">
        <f>VLOOKUP(P11,'Место-баллы'!$A$3:$E$52,2,0)</f>
        <v>80</v>
      </c>
      <c r="R11" s="10"/>
      <c r="S11" s="7">
        <f>80+95</f>
        <v>175</v>
      </c>
      <c r="T11" s="7">
        <f>RANK(S11,S$8:S$12,0)</f>
        <v>4</v>
      </c>
      <c r="U11" s="7">
        <f>VLOOKUP(T11,'Место-баллы'!$A$3:$E$52,2,0)</f>
        <v>85</v>
      </c>
      <c r="V11" s="10"/>
      <c r="W11" s="7">
        <v>12</v>
      </c>
      <c r="X11" s="7">
        <v>5</v>
      </c>
      <c r="Y11" s="13">
        <f>TIME(0,W11,X11)</f>
        <v>8.3912037037037045E-3</v>
      </c>
      <c r="Z11" s="7">
        <v>67</v>
      </c>
      <c r="AA11" s="7">
        <f>Z$2-Z11</f>
        <v>26</v>
      </c>
      <c r="AB11" s="13">
        <f>Y11+TIME(0,0,AA11)</f>
        <v>8.6921296296296312E-3</v>
      </c>
      <c r="AC11" s="7">
        <f>RANK(AB11,AB$8:AB$12,1)</f>
        <v>5</v>
      </c>
      <c r="AD11" s="7">
        <f>VLOOKUP(AC11,'Место-баллы'!$A$3:$E$52,2,0)</f>
        <v>80</v>
      </c>
      <c r="AE11" s="10"/>
      <c r="AF11" s="7">
        <v>16</v>
      </c>
      <c r="AG11" s="7">
        <v>20</v>
      </c>
      <c r="AH11" s="13">
        <f>TIME(0,AF11,AG11)</f>
        <v>1.1342592592592593E-2</v>
      </c>
      <c r="AI11" s="7">
        <v>300</v>
      </c>
      <c r="AJ11" s="7">
        <f>AI$2-AI11</f>
        <v>0</v>
      </c>
      <c r="AK11" s="13">
        <f>AH11+TIME(0,0,AJ11)</f>
        <v>1.1342592592592593E-2</v>
      </c>
      <c r="AL11" s="7">
        <f>RANK(AK11,AK$8:AK$12,1)</f>
        <v>4</v>
      </c>
      <c r="AM11" s="7">
        <f>VLOOKUP(AL11,'Место-баллы'!$A$3:$E$52,2,0)</f>
        <v>85</v>
      </c>
    </row>
    <row r="12" spans="2:39" x14ac:dyDescent="0.25">
      <c r="B12" s="7">
        <v>5</v>
      </c>
      <c r="C12" s="7">
        <f>SUMIF($I$1:$AM$1,1,$I12:$AM12)</f>
        <v>330</v>
      </c>
      <c r="D12" s="7">
        <f>VLOOKUP(B12,'Место-баллы'!$A$3:$E$52,5,0)</f>
        <v>42</v>
      </c>
      <c r="E12" s="10"/>
      <c r="F12" s="10" t="s">
        <v>155</v>
      </c>
      <c r="G12" s="10" t="s">
        <v>49</v>
      </c>
      <c r="H12" s="15"/>
      <c r="I12" s="10"/>
      <c r="J12" s="7">
        <v>9</v>
      </c>
      <c r="K12" s="7">
        <v>5</v>
      </c>
      <c r="L12" s="13">
        <f>TIME(0,J12,K12)</f>
        <v>6.3078703703703708E-3</v>
      </c>
      <c r="M12" s="7">
        <f>320+74</f>
        <v>394</v>
      </c>
      <c r="N12" s="7">
        <f>M$2-M12</f>
        <v>26</v>
      </c>
      <c r="O12" s="13">
        <f>L12+TIME(0,0,N12)</f>
        <v>6.6087962962962966E-3</v>
      </c>
      <c r="P12" s="7">
        <f>RANK(O12,O$8:O$12,1)</f>
        <v>4</v>
      </c>
      <c r="Q12" s="7">
        <f>VLOOKUP(P12,'Место-баллы'!$A$3:$E$52,2,0)</f>
        <v>85</v>
      </c>
      <c r="R12" s="10"/>
      <c r="S12" s="7">
        <f>70+100</f>
        <v>170</v>
      </c>
      <c r="T12" s="7">
        <f>RANK(S12,S$8:S$12,0)</f>
        <v>5</v>
      </c>
      <c r="U12" s="7">
        <f>VLOOKUP(T12,'Место-баллы'!$A$3:$E$52,2,0)</f>
        <v>80</v>
      </c>
      <c r="V12" s="10"/>
      <c r="W12" s="7">
        <v>12</v>
      </c>
      <c r="X12" s="7">
        <v>5</v>
      </c>
      <c r="Y12" s="13">
        <f>TIME(0,W12,X12)</f>
        <v>8.3912037037037045E-3</v>
      </c>
      <c r="Z12" s="7">
        <v>68</v>
      </c>
      <c r="AA12" s="7">
        <f>Z$2-Z12</f>
        <v>25</v>
      </c>
      <c r="AB12" s="13">
        <f>Y12+TIME(0,0,AA12)</f>
        <v>8.6805555555555559E-3</v>
      </c>
      <c r="AC12" s="7">
        <f>RANK(AB12,AB$8:AB$12,1)</f>
        <v>4</v>
      </c>
      <c r="AD12" s="7">
        <f>VLOOKUP(AC12,'Место-баллы'!$A$3:$E$52,2,0)</f>
        <v>85</v>
      </c>
      <c r="AE12" s="10"/>
      <c r="AF12" s="7">
        <v>18</v>
      </c>
      <c r="AG12" s="7">
        <v>28</v>
      </c>
      <c r="AH12" s="13">
        <f>TIME(0,AF12,AG12)</f>
        <v>1.2824074074074075E-2</v>
      </c>
      <c r="AI12" s="7">
        <v>300</v>
      </c>
      <c r="AJ12" s="7">
        <f>AI$2-AI12</f>
        <v>0</v>
      </c>
      <c r="AK12" s="13">
        <f>AH12+TIME(0,0,AJ12)</f>
        <v>1.2824074074074075E-2</v>
      </c>
      <c r="AL12" s="7">
        <f>RANK(AK12,AK$8:AK$12,1)</f>
        <v>5</v>
      </c>
      <c r="AM12" s="7">
        <f>VLOOKUP(AL12,'Место-баллы'!$A$3:$E$52,2,0)</f>
        <v>80</v>
      </c>
    </row>
    <row r="13" spans="2:39" ht="15.75" customHeight="1" x14ac:dyDescent="0.25"/>
    <row r="14" spans="2:39" ht="15.75" customHeight="1" x14ac:dyDescent="0.25"/>
    <row r="15" spans="2:39" ht="15.75" customHeight="1" x14ac:dyDescent="0.25"/>
    <row r="16" spans="2:3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</sheetData>
  <autoFilter ref="B7:AM7" xr:uid="{D529E903-D6D4-4953-98D9-990DFF2AE683}">
    <sortState xmlns:xlrd2="http://schemas.microsoft.com/office/spreadsheetml/2017/richdata2" ref="B8:AM12">
      <sortCondition ref="B7"/>
    </sortState>
  </autoFilter>
  <mergeCells count="6">
    <mergeCell ref="AF5:AM6"/>
    <mergeCell ref="B5:D6"/>
    <mergeCell ref="F5:H6"/>
    <mergeCell ref="J5:Q6"/>
    <mergeCell ref="S5:U6"/>
    <mergeCell ref="W5:AD6"/>
  </mergeCells>
  <conditionalFormatting sqref="F8:F12">
    <cfRule type="duplicateValues" dxfId="7" priority="15"/>
  </conditionalFormatting>
  <printOptions horizontalCentered="1" verticalCentered="1"/>
  <pageMargins left="0" right="0" top="0" bottom="0" header="0" footer="0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4430-70ED-4B4F-853A-1F0ECF61B2A2}">
  <sheetPr>
    <pageSetUpPr fitToPage="1"/>
  </sheetPr>
  <dimension ref="B1:AM40"/>
  <sheetViews>
    <sheetView tabSelected="1" zoomScaleNormal="10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P17" sqref="P17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21.42578125" bestFit="1" customWidth="1"/>
    <col min="7" max="7" width="22.570312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customWidth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7.42578125" customWidth="1"/>
    <col min="20" max="20" width="7.140625" customWidth="1"/>
    <col min="21" max="21" width="6.85546875" customWidth="1"/>
    <col min="22" max="22" width="1.42578125" customWidth="1"/>
    <col min="23" max="23" width="5.140625" hidden="1" customWidth="1" outlineLevel="1"/>
    <col min="24" max="24" width="4.28515625" hidden="1" customWidth="1" outlineLevel="1"/>
    <col min="25" max="25" width="7.140625" customWidth="1" collapsed="1"/>
    <col min="26" max="26" width="6.85546875" hidden="1" customWidth="1" outlineLevel="1"/>
    <col min="27" max="27" width="7.85546875" hidden="1" customWidth="1" outlineLevel="1"/>
    <col min="28" max="28" width="7.140625" hidden="1" customWidth="1" outlineLevel="1"/>
    <col min="29" max="29" width="7.140625" customWidth="1" collapsed="1"/>
    <col min="30" max="30" width="6.85546875" customWidth="1"/>
    <col min="31" max="31" width="1.42578125" customWidth="1"/>
    <col min="32" max="32" width="5.140625" hidden="1" customWidth="1" outlineLevel="1"/>
    <col min="33" max="33" width="4.28515625" hidden="1" customWidth="1" outlineLevel="1"/>
    <col min="34" max="34" width="7.140625" customWidth="1" collapsed="1"/>
    <col min="35" max="35" width="6.85546875" customWidth="1"/>
    <col min="36" max="36" width="7.85546875" hidden="1" customWidth="1" outlineLevel="1"/>
    <col min="37" max="37" width="7.140625" hidden="1" customWidth="1" outlineLevel="1"/>
    <col min="38" max="38" width="7.140625" customWidth="1" collapsed="1"/>
    <col min="39" max="39" width="6.85546875" customWidth="1"/>
  </cols>
  <sheetData>
    <row r="1" spans="2:39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4">
        <v>1</v>
      </c>
      <c r="W1" s="3"/>
      <c r="X1" s="3"/>
      <c r="Y1" s="3"/>
      <c r="Z1" s="3"/>
      <c r="AA1" s="3"/>
      <c r="AB1" s="3"/>
      <c r="AC1" s="3"/>
      <c r="AD1" s="4">
        <v>1</v>
      </c>
      <c r="AF1" s="3"/>
      <c r="AG1" s="3"/>
      <c r="AH1" s="3"/>
      <c r="AI1" s="3"/>
      <c r="AJ1" s="3"/>
      <c r="AK1" s="3"/>
      <c r="AL1" s="3"/>
      <c r="AM1" s="4">
        <v>1</v>
      </c>
    </row>
    <row r="2" spans="2:39" x14ac:dyDescent="0.25">
      <c r="F2" s="12"/>
      <c r="G2" s="12"/>
      <c r="H2" s="12"/>
      <c r="J2" s="3"/>
      <c r="K2" s="3"/>
      <c r="L2" s="3"/>
      <c r="M2" s="5">
        <f>3*(20+20+100)</f>
        <v>420</v>
      </c>
      <c r="N2" s="3"/>
      <c r="O2" s="3"/>
      <c r="P2" s="3"/>
      <c r="Q2" s="3"/>
      <c r="S2" s="3"/>
      <c r="T2" s="3"/>
      <c r="U2" s="3"/>
      <c r="W2" s="3"/>
      <c r="X2" s="3"/>
      <c r="Y2" s="3"/>
      <c r="Z2" s="5">
        <f>7+5+3+15*3+9*3</f>
        <v>87</v>
      </c>
      <c r="AA2" s="3"/>
      <c r="AB2" s="3"/>
      <c r="AC2" s="3"/>
      <c r="AD2" s="3"/>
      <c r="AF2" s="3"/>
      <c r="AG2" s="3"/>
      <c r="AH2" s="3"/>
      <c r="AI2" s="5">
        <f>100+80+60+40+20</f>
        <v>300</v>
      </c>
      <c r="AJ2" s="3"/>
      <c r="AK2" s="3"/>
      <c r="AL2" s="3"/>
      <c r="AM2" s="3"/>
    </row>
    <row r="3" spans="2:39" x14ac:dyDescent="0.25">
      <c r="F3" s="12"/>
      <c r="G3" s="12"/>
      <c r="H3" s="12"/>
      <c r="J3" s="3"/>
      <c r="K3" s="3"/>
      <c r="L3" s="3"/>
      <c r="M3" s="6" t="s">
        <v>23</v>
      </c>
      <c r="N3" s="3"/>
      <c r="O3" s="3"/>
      <c r="P3" s="3"/>
      <c r="Q3" s="3"/>
      <c r="S3" s="6"/>
      <c r="T3" s="3"/>
      <c r="U3" s="3"/>
      <c r="W3" s="3"/>
      <c r="X3" s="3"/>
      <c r="Y3" s="3"/>
      <c r="Z3" s="6" t="s">
        <v>22</v>
      </c>
      <c r="AA3" s="3"/>
      <c r="AB3" s="3"/>
      <c r="AC3" s="3"/>
      <c r="AD3" s="3"/>
      <c r="AF3" s="3"/>
      <c r="AG3" s="3"/>
      <c r="AH3" s="3"/>
      <c r="AI3" s="6" t="s">
        <v>46</v>
      </c>
      <c r="AJ3" s="3"/>
      <c r="AK3" s="3"/>
      <c r="AL3" s="3"/>
      <c r="AM3" s="3"/>
    </row>
    <row r="4" spans="2:39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  <c r="AL4" s="3"/>
      <c r="AM4" s="3"/>
    </row>
    <row r="5" spans="2:39" ht="15" customHeight="1" x14ac:dyDescent="0.25">
      <c r="B5" s="24" t="s">
        <v>4</v>
      </c>
      <c r="C5" s="25"/>
      <c r="D5" s="26"/>
      <c r="E5" s="7"/>
      <c r="F5" s="24" t="s">
        <v>40</v>
      </c>
      <c r="G5" s="25"/>
      <c r="H5" s="26"/>
      <c r="I5" s="7"/>
      <c r="J5" s="24" t="s">
        <v>27</v>
      </c>
      <c r="K5" s="25"/>
      <c r="L5" s="25"/>
      <c r="M5" s="25"/>
      <c r="N5" s="25"/>
      <c r="O5" s="25"/>
      <c r="P5" s="25"/>
      <c r="Q5" s="26"/>
      <c r="R5" s="7"/>
      <c r="S5" s="25" t="s">
        <v>28</v>
      </c>
      <c r="T5" s="25"/>
      <c r="U5" s="26"/>
      <c r="V5" s="7"/>
      <c r="W5" s="24" t="s">
        <v>19</v>
      </c>
      <c r="X5" s="25"/>
      <c r="Y5" s="25"/>
      <c r="Z5" s="25"/>
      <c r="AA5" s="25"/>
      <c r="AB5" s="25"/>
      <c r="AC5" s="25"/>
      <c r="AD5" s="26"/>
      <c r="AE5" s="7"/>
      <c r="AF5" s="24" t="s">
        <v>5</v>
      </c>
      <c r="AG5" s="25"/>
      <c r="AH5" s="25"/>
      <c r="AI5" s="25"/>
      <c r="AJ5" s="25"/>
      <c r="AK5" s="25"/>
      <c r="AL5" s="25"/>
      <c r="AM5" s="26"/>
    </row>
    <row r="6" spans="2:39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8"/>
      <c r="T6" s="28"/>
      <c r="U6" s="29"/>
      <c r="V6" s="8"/>
      <c r="W6" s="27"/>
      <c r="X6" s="28"/>
      <c r="Y6" s="28"/>
      <c r="Z6" s="28"/>
      <c r="AA6" s="28"/>
      <c r="AB6" s="28"/>
      <c r="AC6" s="28"/>
      <c r="AD6" s="29"/>
      <c r="AE6" s="8"/>
      <c r="AF6" s="27"/>
      <c r="AG6" s="28"/>
      <c r="AH6" s="28"/>
      <c r="AI6" s="28"/>
      <c r="AJ6" s="28"/>
      <c r="AK6" s="28"/>
      <c r="AL6" s="28"/>
      <c r="AM6" s="29"/>
    </row>
    <row r="7" spans="2:39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6" t="s">
        <v>25</v>
      </c>
      <c r="T7" s="11" t="s">
        <v>12</v>
      </c>
      <c r="U7" s="11" t="s">
        <v>13</v>
      </c>
      <c r="V7" s="9"/>
      <c r="W7" s="11" t="s">
        <v>9</v>
      </c>
      <c r="X7" s="11" t="s">
        <v>10</v>
      </c>
      <c r="Y7" s="11" t="s">
        <v>11</v>
      </c>
      <c r="Z7" s="16" t="s">
        <v>14</v>
      </c>
      <c r="AA7" s="11" t="s">
        <v>15</v>
      </c>
      <c r="AB7" s="11" t="s">
        <v>11</v>
      </c>
      <c r="AC7" s="11" t="s">
        <v>12</v>
      </c>
      <c r="AD7" s="11" t="s">
        <v>13</v>
      </c>
      <c r="AE7" s="9"/>
      <c r="AF7" s="11" t="s">
        <v>9</v>
      </c>
      <c r="AG7" s="11" t="s">
        <v>10</v>
      </c>
      <c r="AH7" s="11" t="s">
        <v>11</v>
      </c>
      <c r="AI7" s="16" t="s">
        <v>14</v>
      </c>
      <c r="AJ7" s="11" t="s">
        <v>15</v>
      </c>
      <c r="AK7" s="11" t="s">
        <v>11</v>
      </c>
      <c r="AL7" s="11" t="s">
        <v>12</v>
      </c>
      <c r="AM7" s="11" t="s">
        <v>13</v>
      </c>
    </row>
    <row r="8" spans="2:39" x14ac:dyDescent="0.25">
      <c r="B8" s="7">
        <f>RANK(C8,C$8:C$9,0)</f>
        <v>1</v>
      </c>
      <c r="C8" s="7">
        <f t="shared" ref="C8:C9" si="0">SUMIF($I$1:$AM$1,1,$I8:$AM8)</f>
        <v>400</v>
      </c>
      <c r="D8" s="7">
        <f>VLOOKUP(B8,'Место-баллы'!$A$3:$E$52,5,0)</f>
        <v>50</v>
      </c>
      <c r="E8" s="10"/>
      <c r="F8" s="10" t="s">
        <v>165</v>
      </c>
      <c r="G8" s="10" t="s">
        <v>166</v>
      </c>
      <c r="H8" s="15"/>
      <c r="I8" s="10"/>
      <c r="J8" s="7">
        <v>8</v>
      </c>
      <c r="K8" s="7">
        <v>42</v>
      </c>
      <c r="L8" s="13">
        <f t="shared" ref="L8" si="1">TIME(0,J8,K8)</f>
        <v>6.0416666666666665E-3</v>
      </c>
      <c r="M8" s="7">
        <v>420</v>
      </c>
      <c r="N8" s="7">
        <f t="shared" ref="N8:N9" si="2">M$2-M8</f>
        <v>0</v>
      </c>
      <c r="O8" s="13">
        <f t="shared" ref="O8:O9" si="3">L8+TIME(0,0,N8)</f>
        <v>6.0416666666666665E-3</v>
      </c>
      <c r="P8" s="7">
        <f>RANK(O8,O$8:O$9,1)</f>
        <v>1</v>
      </c>
      <c r="Q8" s="7">
        <f>VLOOKUP(P8,'Место-баллы'!$A$3:$E$52,2,0)</f>
        <v>100</v>
      </c>
      <c r="R8" s="10"/>
      <c r="S8" s="7">
        <f>70+80</f>
        <v>150</v>
      </c>
      <c r="T8" s="7">
        <f>RANK(S8,S$8:S$9,0)</f>
        <v>1</v>
      </c>
      <c r="U8" s="7">
        <f>VLOOKUP(T8,'Место-баллы'!$A$3:$E$52,2,0)</f>
        <v>100</v>
      </c>
      <c r="V8" s="10"/>
      <c r="W8" s="7">
        <v>9</v>
      </c>
      <c r="X8" s="7">
        <v>57</v>
      </c>
      <c r="Y8" s="13">
        <f>TIME(0,W8,X8)</f>
        <v>6.9097222222222225E-3</v>
      </c>
      <c r="Z8" s="7">
        <v>87</v>
      </c>
      <c r="AA8" s="7">
        <f t="shared" ref="AA8:AA9" si="4">Z$2-Z8</f>
        <v>0</v>
      </c>
      <c r="AB8" s="13">
        <f t="shared" ref="AB8:AB9" si="5">Y8+TIME(0,0,AA8)</f>
        <v>6.9097222222222225E-3</v>
      </c>
      <c r="AC8" s="7">
        <f>RANK(AB8,AB$8:AB$9,1)</f>
        <v>1</v>
      </c>
      <c r="AD8" s="7">
        <f>VLOOKUP(AC8,'Место-баллы'!$A$3:$E$52,2,0)</f>
        <v>100</v>
      </c>
      <c r="AE8" s="10"/>
      <c r="AF8" s="7">
        <v>13</v>
      </c>
      <c r="AG8" s="7">
        <v>5</v>
      </c>
      <c r="AH8" s="13">
        <f>TIME(0,AF8,AG8)</f>
        <v>9.0856481481481483E-3</v>
      </c>
      <c r="AI8" s="7">
        <v>280</v>
      </c>
      <c r="AJ8" s="7">
        <f t="shared" ref="AJ8:AJ9" si="6">AI$2-AI8</f>
        <v>20</v>
      </c>
      <c r="AK8" s="13">
        <f t="shared" ref="AK8:AK9" si="7">AH8+TIME(0,0,AJ8)</f>
        <v>9.3171296296296301E-3</v>
      </c>
      <c r="AL8" s="7">
        <f>RANK(AK8,AK$8:AK$9,1)</f>
        <v>1</v>
      </c>
      <c r="AM8" s="7">
        <f>VLOOKUP(AL8,'Место-баллы'!$A$3:$E$52,2,0)</f>
        <v>100</v>
      </c>
    </row>
    <row r="9" spans="2:39" x14ac:dyDescent="0.25">
      <c r="B9" s="7">
        <f>RANK(C9,C$8:C$9,0)</f>
        <v>2</v>
      </c>
      <c r="C9" s="7">
        <f t="shared" si="0"/>
        <v>380</v>
      </c>
      <c r="D9" s="7">
        <f>VLOOKUP(B9,'Место-баллы'!$A$3:$E$52,5,0)</f>
        <v>48</v>
      </c>
      <c r="E9" s="10"/>
      <c r="F9" s="10" t="s">
        <v>167</v>
      </c>
      <c r="G9" s="10" t="s">
        <v>168</v>
      </c>
      <c r="H9" s="15"/>
      <c r="I9" s="10"/>
      <c r="J9" s="7">
        <v>9</v>
      </c>
      <c r="K9" s="7">
        <v>5</v>
      </c>
      <c r="L9" s="13">
        <f>TIME(0,J9,K9)</f>
        <v>6.3078703703703708E-3</v>
      </c>
      <c r="M9" s="7">
        <v>320</v>
      </c>
      <c r="N9" s="7">
        <f t="shared" si="2"/>
        <v>100</v>
      </c>
      <c r="O9" s="13">
        <f t="shared" si="3"/>
        <v>7.4652777777777781E-3</v>
      </c>
      <c r="P9" s="7">
        <f>RANK(O9,O$8:O$9,1)</f>
        <v>2</v>
      </c>
      <c r="Q9" s="7">
        <f>VLOOKUP(P9,'Место-баллы'!$A$3:$E$52,2,0)</f>
        <v>95</v>
      </c>
      <c r="R9" s="10"/>
      <c r="S9" s="7">
        <f>40+70</f>
        <v>110</v>
      </c>
      <c r="T9" s="7">
        <f>RANK(S9,S$8:S$9,0)</f>
        <v>2</v>
      </c>
      <c r="U9" s="7">
        <f>VLOOKUP(T9,'Место-баллы'!$A$3:$E$52,2,0)</f>
        <v>95</v>
      </c>
      <c r="V9" s="10"/>
      <c r="W9" s="7">
        <v>11</v>
      </c>
      <c r="X9" s="7">
        <v>29</v>
      </c>
      <c r="Y9" s="13">
        <f>TIME(0,W9,X9)</f>
        <v>7.9745370370370369E-3</v>
      </c>
      <c r="Z9" s="7">
        <v>87</v>
      </c>
      <c r="AA9" s="7">
        <f t="shared" si="4"/>
        <v>0</v>
      </c>
      <c r="AB9" s="13">
        <f t="shared" si="5"/>
        <v>7.9745370370370369E-3</v>
      </c>
      <c r="AC9" s="7">
        <f>RANK(AB9,AB$8:AB$9,1)</f>
        <v>2</v>
      </c>
      <c r="AD9" s="7">
        <f>VLOOKUP(AC9,'Место-баллы'!$A$3:$E$52,2,0)</f>
        <v>95</v>
      </c>
      <c r="AE9" s="10"/>
      <c r="AF9" s="7">
        <v>16</v>
      </c>
      <c r="AG9" s="7">
        <v>3</v>
      </c>
      <c r="AH9" s="13">
        <f>TIME(0,AF9,AG9)</f>
        <v>1.1145833333333334E-2</v>
      </c>
      <c r="AI9" s="7">
        <v>280</v>
      </c>
      <c r="AJ9" s="7">
        <f t="shared" si="6"/>
        <v>20</v>
      </c>
      <c r="AK9" s="13">
        <f t="shared" si="7"/>
        <v>1.1377314814814816E-2</v>
      </c>
      <c r="AL9" s="7">
        <f>RANK(AK9,AK$8:AK$9,1)</f>
        <v>2</v>
      </c>
      <c r="AM9" s="7">
        <f>VLOOKUP(AL9,'Место-баллы'!$A$3:$E$52,2,0)</f>
        <v>95</v>
      </c>
    </row>
    <row r="10" spans="2:39" ht="15.75" customHeight="1" x14ac:dyDescent="0.25"/>
    <row r="11" spans="2:39" ht="15.75" customHeight="1" x14ac:dyDescent="0.25"/>
    <row r="12" spans="2:39" ht="15.75" customHeight="1" x14ac:dyDescent="0.25"/>
    <row r="13" spans="2:39" ht="15.75" customHeight="1" x14ac:dyDescent="0.25"/>
    <row r="14" spans="2:39" ht="15.75" customHeight="1" x14ac:dyDescent="0.25"/>
    <row r="15" spans="2:39" ht="15.75" customHeight="1" x14ac:dyDescent="0.25"/>
    <row r="16" spans="2:3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</sheetData>
  <autoFilter ref="B7:AM7" xr:uid="{D529E903-D6D4-4953-98D9-990DFF2AE683}">
    <sortState xmlns:xlrd2="http://schemas.microsoft.com/office/spreadsheetml/2017/richdata2" ref="B8:AM30">
      <sortCondition ref="B7"/>
    </sortState>
  </autoFilter>
  <mergeCells count="6">
    <mergeCell ref="AF5:AM6"/>
    <mergeCell ref="B5:D6"/>
    <mergeCell ref="F5:H6"/>
    <mergeCell ref="J5:Q6"/>
    <mergeCell ref="S5:U6"/>
    <mergeCell ref="W5:AD6"/>
  </mergeCells>
  <conditionalFormatting sqref="F8">
    <cfRule type="duplicateValues" dxfId="6" priority="2"/>
  </conditionalFormatting>
  <conditionalFormatting sqref="F9">
    <cfRule type="duplicateValues" dxfId="5" priority="1"/>
  </conditionalFormatting>
  <printOptions horizontalCentered="1" verticalCentered="1"/>
  <pageMargins left="0" right="0" top="0" bottom="0" header="0" footer="0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90EB-F849-4A1C-A744-E12B84293DCD}">
  <sheetPr>
    <pageSetUpPr fitToPage="1"/>
  </sheetPr>
  <dimension ref="B1:AV49"/>
  <sheetViews>
    <sheetView zoomScaleNormal="10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T19" sqref="T19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18.7109375" bestFit="1" customWidth="1"/>
    <col min="7" max="7" width="16.570312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customWidth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7.42578125" customWidth="1"/>
    <col min="20" max="20" width="7.140625" customWidth="1"/>
    <col min="21" max="21" width="6.85546875" customWidth="1"/>
    <col min="22" max="22" width="1.42578125" customWidth="1"/>
    <col min="23" max="23" width="5.140625" hidden="1" customWidth="1" outlineLevel="1"/>
    <col min="24" max="24" width="4.28515625" hidden="1" customWidth="1" outlineLevel="1"/>
    <col min="25" max="25" width="7.140625" customWidth="1" collapsed="1"/>
    <col min="26" max="26" width="6.85546875" customWidth="1"/>
    <col min="27" max="27" width="7.85546875" hidden="1" customWidth="1" outlineLevel="1"/>
    <col min="28" max="28" width="7.140625" hidden="1" customWidth="1" outlineLevel="1"/>
    <col min="29" max="29" width="7.140625" customWidth="1" collapsed="1"/>
    <col min="30" max="30" width="6.85546875" customWidth="1"/>
    <col min="31" max="31" width="1.42578125" customWidth="1"/>
    <col min="32" max="32" width="5.140625" hidden="1" customWidth="1" outlineLevel="1"/>
    <col min="33" max="33" width="4.28515625" hidden="1" customWidth="1" outlineLevel="1"/>
    <col min="34" max="34" width="7.140625" hidden="1" customWidth="1" outlineLevel="1"/>
    <col min="35" max="35" width="6.85546875" customWidth="1" collapsed="1"/>
    <col min="36" max="36" width="7.85546875" hidden="1" customWidth="1" outlineLevel="1"/>
    <col min="37" max="37" width="7.140625" hidden="1" customWidth="1" outlineLevel="1"/>
    <col min="38" max="38" width="7.140625" customWidth="1" collapsed="1"/>
    <col min="39" max="39" width="6.85546875" customWidth="1"/>
    <col min="40" max="40" width="1.42578125" customWidth="1"/>
    <col min="41" max="41" width="5.140625" hidden="1" customWidth="1" outlineLevel="1"/>
    <col min="42" max="42" width="4.28515625" hidden="1" customWidth="1" outlineLevel="1"/>
    <col min="43" max="43" width="7.140625" hidden="1" customWidth="1" outlineLevel="1"/>
    <col min="44" max="44" width="6.85546875" customWidth="1" collapsed="1"/>
    <col min="45" max="45" width="7.85546875" hidden="1" customWidth="1" outlineLevel="1"/>
    <col min="46" max="46" width="7.140625" hidden="1" customWidth="1" outlineLevel="1"/>
    <col min="47" max="47" width="7.140625" customWidth="1" collapsed="1"/>
    <col min="48" max="48" width="6.85546875" customWidth="1"/>
  </cols>
  <sheetData>
    <row r="1" spans="2:48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4">
        <v>1</v>
      </c>
      <c r="W1" s="3"/>
      <c r="X1" s="3"/>
      <c r="Y1" s="3"/>
      <c r="Z1" s="3"/>
      <c r="AA1" s="3"/>
      <c r="AB1" s="3"/>
      <c r="AC1" s="3"/>
      <c r="AD1" s="4">
        <v>1</v>
      </c>
      <c r="AF1" s="3"/>
      <c r="AG1" s="3"/>
      <c r="AH1" s="3"/>
      <c r="AI1" s="3"/>
      <c r="AJ1" s="3"/>
      <c r="AK1" s="3"/>
      <c r="AL1" s="3"/>
      <c r="AM1" s="4">
        <v>1</v>
      </c>
      <c r="AO1" s="3"/>
      <c r="AP1" s="3"/>
      <c r="AQ1" s="3"/>
      <c r="AR1" s="3"/>
      <c r="AS1" s="3"/>
      <c r="AT1" s="3"/>
      <c r="AU1" s="3"/>
      <c r="AV1" s="4">
        <v>1</v>
      </c>
    </row>
    <row r="2" spans="2:48" x14ac:dyDescent="0.25">
      <c r="F2" s="12"/>
      <c r="G2" s="12"/>
      <c r="H2" s="12"/>
      <c r="J2" s="3"/>
      <c r="K2" s="3"/>
      <c r="L2" s="3"/>
      <c r="M2" s="5">
        <f>2*(2+4+6+8+10)+20+16+12+8+4</f>
        <v>120</v>
      </c>
      <c r="N2" s="3"/>
      <c r="O2" s="3"/>
      <c r="P2" s="3"/>
      <c r="Q2" s="3"/>
      <c r="S2" s="3"/>
      <c r="T2" s="3"/>
      <c r="U2" s="3"/>
      <c r="W2" s="3"/>
      <c r="X2" s="3"/>
      <c r="Y2" s="3"/>
      <c r="Z2" s="5">
        <v>240</v>
      </c>
      <c r="AA2" s="3"/>
      <c r="AB2" s="3"/>
      <c r="AC2" s="3"/>
      <c r="AD2" s="3"/>
      <c r="AF2" s="3"/>
      <c r="AG2" s="3"/>
      <c r="AH2" s="3"/>
      <c r="AI2" s="5">
        <v>100</v>
      </c>
      <c r="AJ2" s="3"/>
      <c r="AK2" s="3"/>
      <c r="AL2" s="3"/>
      <c r="AM2" s="3"/>
      <c r="AO2" s="3"/>
      <c r="AP2" s="3"/>
      <c r="AQ2" s="3"/>
      <c r="AR2" s="5">
        <v>100</v>
      </c>
      <c r="AS2" s="3"/>
      <c r="AT2" s="3"/>
      <c r="AU2" s="3"/>
      <c r="AV2" s="3"/>
    </row>
    <row r="3" spans="2:48" x14ac:dyDescent="0.25">
      <c r="F3" s="12"/>
      <c r="G3" s="12"/>
      <c r="H3" s="12"/>
      <c r="J3" s="3"/>
      <c r="K3" s="3"/>
      <c r="L3" s="3"/>
      <c r="M3" s="6" t="s">
        <v>31</v>
      </c>
      <c r="N3" s="3"/>
      <c r="O3" s="3"/>
      <c r="P3" s="3"/>
      <c r="Q3" s="3"/>
      <c r="S3" s="6"/>
      <c r="T3" s="3"/>
      <c r="U3" s="3"/>
      <c r="W3" s="3"/>
      <c r="X3" s="3"/>
      <c r="Y3" s="3"/>
      <c r="Z3" s="6" t="s">
        <v>20</v>
      </c>
      <c r="AA3" s="3"/>
      <c r="AB3" s="3"/>
      <c r="AC3" s="3"/>
      <c r="AD3" s="3"/>
      <c r="AF3" s="3"/>
      <c r="AG3" s="3"/>
      <c r="AH3" s="3"/>
      <c r="AI3" s="6" t="s">
        <v>34</v>
      </c>
      <c r="AJ3" s="3"/>
      <c r="AK3" s="3"/>
      <c r="AL3" s="3"/>
      <c r="AM3" s="3"/>
      <c r="AO3" s="3"/>
      <c r="AP3" s="3"/>
      <c r="AQ3" s="3"/>
      <c r="AR3" s="6" t="s">
        <v>34</v>
      </c>
      <c r="AS3" s="3"/>
      <c r="AT3" s="3"/>
      <c r="AU3" s="3"/>
      <c r="AV3" s="3"/>
    </row>
    <row r="4" spans="2:48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  <c r="AL4" s="3"/>
      <c r="AM4" s="3"/>
      <c r="AO4" s="3"/>
      <c r="AP4" s="3"/>
      <c r="AQ4" s="3"/>
      <c r="AR4" s="3"/>
      <c r="AS4" s="3"/>
      <c r="AT4" s="3"/>
      <c r="AU4" s="3"/>
      <c r="AV4" s="3"/>
    </row>
    <row r="5" spans="2:48" ht="15" customHeight="1" x14ac:dyDescent="0.25">
      <c r="B5" s="24" t="s">
        <v>4</v>
      </c>
      <c r="C5" s="25"/>
      <c r="D5" s="26"/>
      <c r="E5" s="7"/>
      <c r="F5" s="24" t="s">
        <v>37</v>
      </c>
      <c r="G5" s="25"/>
      <c r="H5" s="26"/>
      <c r="I5" s="7"/>
      <c r="J5" s="24" t="s">
        <v>27</v>
      </c>
      <c r="K5" s="25"/>
      <c r="L5" s="25"/>
      <c r="M5" s="25"/>
      <c r="N5" s="25"/>
      <c r="O5" s="25"/>
      <c r="P5" s="25"/>
      <c r="Q5" s="26"/>
      <c r="R5" s="7"/>
      <c r="S5" s="25" t="s">
        <v>28</v>
      </c>
      <c r="T5" s="25"/>
      <c r="U5" s="26"/>
      <c r="V5" s="7"/>
      <c r="W5" s="24" t="s">
        <v>19</v>
      </c>
      <c r="X5" s="25"/>
      <c r="Y5" s="25"/>
      <c r="Z5" s="25"/>
      <c r="AA5" s="25"/>
      <c r="AB5" s="25"/>
      <c r="AC5" s="25"/>
      <c r="AD5" s="26"/>
      <c r="AE5" s="7"/>
      <c r="AF5" s="24" t="s">
        <v>35</v>
      </c>
      <c r="AG5" s="25"/>
      <c r="AH5" s="25"/>
      <c r="AI5" s="25"/>
      <c r="AJ5" s="25"/>
      <c r="AK5" s="25"/>
      <c r="AL5" s="25"/>
      <c r="AM5" s="26"/>
      <c r="AN5" s="7"/>
      <c r="AO5" s="24" t="s">
        <v>36</v>
      </c>
      <c r="AP5" s="25"/>
      <c r="AQ5" s="25"/>
      <c r="AR5" s="25"/>
      <c r="AS5" s="25"/>
      <c r="AT5" s="25"/>
      <c r="AU5" s="25"/>
      <c r="AV5" s="26"/>
    </row>
    <row r="6" spans="2:48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8"/>
      <c r="T6" s="28"/>
      <c r="U6" s="29"/>
      <c r="V6" s="8"/>
      <c r="W6" s="27"/>
      <c r="X6" s="28"/>
      <c r="Y6" s="28"/>
      <c r="Z6" s="28"/>
      <c r="AA6" s="28"/>
      <c r="AB6" s="28"/>
      <c r="AC6" s="28"/>
      <c r="AD6" s="29"/>
      <c r="AE6" s="8"/>
      <c r="AF6" s="27"/>
      <c r="AG6" s="28"/>
      <c r="AH6" s="28"/>
      <c r="AI6" s="28"/>
      <c r="AJ6" s="28"/>
      <c r="AK6" s="28"/>
      <c r="AL6" s="28"/>
      <c r="AM6" s="29"/>
      <c r="AN6" s="8"/>
      <c r="AO6" s="27"/>
      <c r="AP6" s="28"/>
      <c r="AQ6" s="28"/>
      <c r="AR6" s="28"/>
      <c r="AS6" s="28"/>
      <c r="AT6" s="28"/>
      <c r="AU6" s="28"/>
      <c r="AV6" s="29"/>
    </row>
    <row r="7" spans="2:48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6" t="s">
        <v>25</v>
      </c>
      <c r="T7" s="11" t="s">
        <v>12</v>
      </c>
      <c r="U7" s="11" t="s">
        <v>13</v>
      </c>
      <c r="V7" s="9"/>
      <c r="W7" s="11" t="s">
        <v>9</v>
      </c>
      <c r="X7" s="11" t="s">
        <v>10</v>
      </c>
      <c r="Y7" s="11" t="s">
        <v>11</v>
      </c>
      <c r="Z7" s="16" t="s">
        <v>14</v>
      </c>
      <c r="AA7" s="11" t="s">
        <v>15</v>
      </c>
      <c r="AB7" s="11" t="s">
        <v>11</v>
      </c>
      <c r="AC7" s="11" t="s">
        <v>12</v>
      </c>
      <c r="AD7" s="11" t="s">
        <v>13</v>
      </c>
      <c r="AE7" s="9"/>
      <c r="AF7" s="11" t="s">
        <v>9</v>
      </c>
      <c r="AG7" s="11" t="s">
        <v>10</v>
      </c>
      <c r="AH7" s="11" t="s">
        <v>11</v>
      </c>
      <c r="AI7" s="16" t="s">
        <v>14</v>
      </c>
      <c r="AJ7" s="11" t="s">
        <v>15</v>
      </c>
      <c r="AK7" s="11" t="s">
        <v>11</v>
      </c>
      <c r="AL7" s="11" t="s">
        <v>12</v>
      </c>
      <c r="AM7" s="11" t="s">
        <v>13</v>
      </c>
      <c r="AN7" s="9"/>
      <c r="AO7" s="11" t="s">
        <v>9</v>
      </c>
      <c r="AP7" s="11" t="s">
        <v>10</v>
      </c>
      <c r="AQ7" s="11" t="s">
        <v>11</v>
      </c>
      <c r="AR7" s="16" t="s">
        <v>14</v>
      </c>
      <c r="AS7" s="11" t="s">
        <v>15</v>
      </c>
      <c r="AT7" s="11" t="s">
        <v>11</v>
      </c>
      <c r="AU7" s="11" t="s">
        <v>12</v>
      </c>
      <c r="AV7" s="11" t="s">
        <v>13</v>
      </c>
    </row>
    <row r="8" spans="2:48" x14ac:dyDescent="0.25">
      <c r="B8" s="7">
        <f t="shared" ref="B8:B15" si="0">RANK(C8,C$8:C$17,0)</f>
        <v>1</v>
      </c>
      <c r="C8" s="7">
        <f t="shared" ref="C8:C17" si="1">SUMIF($I$1:$AV$1,1,$I8:$AV8)</f>
        <v>500</v>
      </c>
      <c r="D8" s="7">
        <f>VLOOKUP(B8,'Место-баллы'!$A$3:$E$52,5,0)</f>
        <v>50</v>
      </c>
      <c r="E8" s="10"/>
      <c r="F8" s="10" t="s">
        <v>96</v>
      </c>
      <c r="G8" s="10" t="s">
        <v>59</v>
      </c>
      <c r="H8" s="15"/>
      <c r="I8" s="10"/>
      <c r="J8" s="7">
        <v>5</v>
      </c>
      <c r="K8" s="7">
        <v>43</v>
      </c>
      <c r="L8" s="13">
        <f t="shared" ref="L8:L17" si="2">TIME(0,J8,K8)</f>
        <v>3.9699074074074072E-3</v>
      </c>
      <c r="M8" s="7">
        <v>120</v>
      </c>
      <c r="N8" s="7">
        <f t="shared" ref="N8:N17" si="3">M$2-M8</f>
        <v>0</v>
      </c>
      <c r="O8" s="13">
        <f t="shared" ref="O8:O17" si="4">L8+TIME(0,0,N8)</f>
        <v>3.9699074074074072E-3</v>
      </c>
      <c r="P8" s="7">
        <f t="shared" ref="P8:P17" si="5">RANK(O8,O$8:O$17,1)</f>
        <v>1</v>
      </c>
      <c r="Q8" s="7">
        <f>VLOOKUP(P8,'Место-баллы'!$A$3:$E$52,2,0)</f>
        <v>100</v>
      </c>
      <c r="R8" s="10"/>
      <c r="S8" s="7">
        <f>132+72</f>
        <v>204</v>
      </c>
      <c r="T8" s="7">
        <f t="shared" ref="T8:T17" si="6">RANK(S8,S$8:S$17,0)</f>
        <v>1</v>
      </c>
      <c r="U8" s="7">
        <f>VLOOKUP(T8,'Место-баллы'!$A$3:$E$52,2,0)</f>
        <v>100</v>
      </c>
      <c r="V8" s="10"/>
      <c r="W8" s="7">
        <v>12</v>
      </c>
      <c r="X8" s="7">
        <v>42</v>
      </c>
      <c r="Y8" s="13">
        <f t="shared" ref="Y8:Y17" si="7">TIME(0,W8,X8)</f>
        <v>8.819444444444444E-3</v>
      </c>
      <c r="Z8" s="7">
        <v>240</v>
      </c>
      <c r="AA8" s="7">
        <f t="shared" ref="AA8:AA17" si="8">Z$2-Z8</f>
        <v>0</v>
      </c>
      <c r="AB8" s="13">
        <f t="shared" ref="AB8:AB17" si="9">Y8+TIME(0,0,AA8)</f>
        <v>8.819444444444444E-3</v>
      </c>
      <c r="AC8" s="7">
        <f t="shared" ref="AC8:AC17" si="10">RANK(AB8,AB$8:AB$17,1)</f>
        <v>1</v>
      </c>
      <c r="AD8" s="7">
        <f>VLOOKUP(AC8,'Место-баллы'!$A$3:$E$52,2,0)</f>
        <v>100</v>
      </c>
      <c r="AE8" s="10"/>
      <c r="AF8" s="7">
        <v>4</v>
      </c>
      <c r="AG8" s="7">
        <v>5</v>
      </c>
      <c r="AH8" s="13">
        <f t="shared" ref="AH8:AH15" si="11">TIME(0,AF8,AG8)</f>
        <v>2.8356481481481483E-3</v>
      </c>
      <c r="AI8" s="7">
        <f>42+36</f>
        <v>78</v>
      </c>
      <c r="AJ8" s="7">
        <f t="shared" ref="AJ8:AJ15" si="12">AI$2-AI8</f>
        <v>22</v>
      </c>
      <c r="AK8" s="13">
        <f t="shared" ref="AK8:AK15" si="13">AH8+TIME(0,0,AJ8)</f>
        <v>3.0902777777777777E-3</v>
      </c>
      <c r="AL8" s="7">
        <f t="shared" ref="AL8:AL15" si="14">RANK(AK8,AK$8:AK$17,1)</f>
        <v>1</v>
      </c>
      <c r="AM8" s="7">
        <f>VLOOKUP(AL8,'Место-баллы'!$A$3:$E$52,2,0)</f>
        <v>100</v>
      </c>
      <c r="AN8" s="10"/>
      <c r="AO8" s="7">
        <v>4</v>
      </c>
      <c r="AP8" s="7">
        <v>5</v>
      </c>
      <c r="AQ8" s="13">
        <f t="shared" ref="AQ8:AQ15" si="15">TIME(0,AO8,AP8)</f>
        <v>2.8356481481481483E-3</v>
      </c>
      <c r="AR8" s="7">
        <v>100</v>
      </c>
      <c r="AS8" s="7">
        <f t="shared" ref="AS8:AS15" si="16">AR$2-AR8</f>
        <v>0</v>
      </c>
      <c r="AT8" s="13">
        <f t="shared" ref="AT8:AT15" si="17">AQ8+TIME(0,0,AS8)</f>
        <v>2.8356481481481483E-3</v>
      </c>
      <c r="AU8" s="7">
        <f t="shared" ref="AU8:AU15" si="18">RANK(AT8,AT$8:AT$17,1)</f>
        <v>1</v>
      </c>
      <c r="AV8" s="7">
        <f>VLOOKUP(AU8,'Место-баллы'!$A$3:$E$52,2,0)</f>
        <v>100</v>
      </c>
    </row>
    <row r="9" spans="2:48" x14ac:dyDescent="0.25">
      <c r="B9" s="7">
        <f t="shared" si="0"/>
        <v>2</v>
      </c>
      <c r="C9" s="7">
        <f t="shared" si="1"/>
        <v>480</v>
      </c>
      <c r="D9" s="7">
        <f>VLOOKUP(B9,'Место-баллы'!$A$3:$E$52,5,0)</f>
        <v>48</v>
      </c>
      <c r="E9" s="10"/>
      <c r="F9" s="10" t="s">
        <v>91</v>
      </c>
      <c r="G9" s="10" t="s">
        <v>53</v>
      </c>
      <c r="H9" s="15"/>
      <c r="I9" s="10"/>
      <c r="J9" s="7">
        <v>5</v>
      </c>
      <c r="K9" s="7">
        <v>58</v>
      </c>
      <c r="L9" s="13">
        <f t="shared" si="2"/>
        <v>4.1435185185185186E-3</v>
      </c>
      <c r="M9" s="7">
        <v>120</v>
      </c>
      <c r="N9" s="7">
        <f t="shared" si="3"/>
        <v>0</v>
      </c>
      <c r="O9" s="13">
        <f t="shared" si="4"/>
        <v>4.1435185185185186E-3</v>
      </c>
      <c r="P9" s="7">
        <f t="shared" si="5"/>
        <v>2</v>
      </c>
      <c r="Q9" s="7">
        <f>VLOOKUP(P9,'Место-баллы'!$A$3:$E$52,2,0)</f>
        <v>95</v>
      </c>
      <c r="R9" s="10"/>
      <c r="S9" s="7">
        <f>68+125</f>
        <v>193</v>
      </c>
      <c r="T9" s="7">
        <f t="shared" si="6"/>
        <v>2</v>
      </c>
      <c r="U9" s="7">
        <f>VLOOKUP(T9,'Место-баллы'!$A$3:$E$52,2,0)</f>
        <v>95</v>
      </c>
      <c r="V9" s="10"/>
      <c r="W9" s="7">
        <v>13</v>
      </c>
      <c r="X9" s="7">
        <v>33</v>
      </c>
      <c r="Y9" s="13">
        <f t="shared" si="7"/>
        <v>9.4097222222222221E-3</v>
      </c>
      <c r="Z9" s="7">
        <v>240</v>
      </c>
      <c r="AA9" s="7">
        <f t="shared" si="8"/>
        <v>0</v>
      </c>
      <c r="AB9" s="13">
        <f t="shared" si="9"/>
        <v>9.4097222222222221E-3</v>
      </c>
      <c r="AC9" s="7">
        <f t="shared" si="10"/>
        <v>2</v>
      </c>
      <c r="AD9" s="7">
        <f>VLOOKUP(AC9,'Место-баллы'!$A$3:$E$52,2,0)</f>
        <v>95</v>
      </c>
      <c r="AE9" s="10"/>
      <c r="AF9" s="7">
        <v>4</v>
      </c>
      <c r="AG9" s="7">
        <v>5</v>
      </c>
      <c r="AH9" s="13">
        <f t="shared" si="11"/>
        <v>2.8356481481481483E-3</v>
      </c>
      <c r="AI9" s="7">
        <f>41+36</f>
        <v>77</v>
      </c>
      <c r="AJ9" s="7">
        <f t="shared" si="12"/>
        <v>23</v>
      </c>
      <c r="AK9" s="13">
        <f t="shared" si="13"/>
        <v>3.1018518518518522E-3</v>
      </c>
      <c r="AL9" s="7">
        <f t="shared" si="14"/>
        <v>2</v>
      </c>
      <c r="AM9" s="7">
        <f>VLOOKUP(AL9,'Место-баллы'!$A$3:$E$52,2,0)</f>
        <v>95</v>
      </c>
      <c r="AN9" s="10"/>
      <c r="AO9" s="7">
        <v>4</v>
      </c>
      <c r="AP9" s="7">
        <v>5</v>
      </c>
      <c r="AQ9" s="13">
        <f t="shared" si="15"/>
        <v>2.8356481481481483E-3</v>
      </c>
      <c r="AR9" s="7">
        <v>100</v>
      </c>
      <c r="AS9" s="7">
        <f t="shared" si="16"/>
        <v>0</v>
      </c>
      <c r="AT9" s="13">
        <f t="shared" si="17"/>
        <v>2.8356481481481483E-3</v>
      </c>
      <c r="AU9" s="7">
        <f t="shared" si="18"/>
        <v>1</v>
      </c>
      <c r="AV9" s="7">
        <f>VLOOKUP(AU9,'Место-баллы'!$A$3:$E$52,2,0)</f>
        <v>100</v>
      </c>
    </row>
    <row r="10" spans="2:48" x14ac:dyDescent="0.25">
      <c r="B10" s="7">
        <f t="shared" si="0"/>
        <v>3</v>
      </c>
      <c r="C10" s="7">
        <f t="shared" si="1"/>
        <v>430</v>
      </c>
      <c r="D10" s="7">
        <f>VLOOKUP(B10,'Место-баллы'!$A$3:$E$52,5,0)</f>
        <v>46</v>
      </c>
      <c r="E10" s="10"/>
      <c r="F10" s="10" t="s">
        <v>95</v>
      </c>
      <c r="G10" s="10" t="s">
        <v>55</v>
      </c>
      <c r="H10" s="15"/>
      <c r="I10" s="10"/>
      <c r="J10" s="7">
        <v>6</v>
      </c>
      <c r="K10" s="7">
        <v>25</v>
      </c>
      <c r="L10" s="13">
        <f t="shared" si="2"/>
        <v>4.4560185185185189E-3</v>
      </c>
      <c r="M10" s="7">
        <v>120</v>
      </c>
      <c r="N10" s="7">
        <f t="shared" si="3"/>
        <v>0</v>
      </c>
      <c r="O10" s="13">
        <f t="shared" si="4"/>
        <v>4.4560185185185189E-3</v>
      </c>
      <c r="P10" s="7">
        <f t="shared" si="5"/>
        <v>4</v>
      </c>
      <c r="Q10" s="7">
        <f>VLOOKUP(P10,'Место-баллы'!$A$3:$E$52,2,0)</f>
        <v>85</v>
      </c>
      <c r="R10" s="10"/>
      <c r="S10" s="7">
        <f>76+107</f>
        <v>183</v>
      </c>
      <c r="T10" s="7">
        <f t="shared" si="6"/>
        <v>5</v>
      </c>
      <c r="U10" s="7">
        <f>VLOOKUP(T10,'Место-баллы'!$A$3:$E$52,2,0)</f>
        <v>80</v>
      </c>
      <c r="V10" s="10"/>
      <c r="W10" s="7">
        <v>13</v>
      </c>
      <c r="X10" s="7">
        <v>57</v>
      </c>
      <c r="Y10" s="13">
        <f t="shared" si="7"/>
        <v>9.6874999999999999E-3</v>
      </c>
      <c r="Z10" s="7">
        <v>240</v>
      </c>
      <c r="AA10" s="7">
        <f t="shared" si="8"/>
        <v>0</v>
      </c>
      <c r="AB10" s="13">
        <f t="shared" si="9"/>
        <v>9.6874999999999999E-3</v>
      </c>
      <c r="AC10" s="7">
        <f t="shared" si="10"/>
        <v>3</v>
      </c>
      <c r="AD10" s="7">
        <f>VLOOKUP(AC10,'Место-баллы'!$A$3:$E$52,2,0)</f>
        <v>90</v>
      </c>
      <c r="AE10" s="10"/>
      <c r="AF10" s="7">
        <v>4</v>
      </c>
      <c r="AG10" s="7">
        <v>5</v>
      </c>
      <c r="AH10" s="13">
        <f t="shared" si="11"/>
        <v>2.8356481481481483E-3</v>
      </c>
      <c r="AI10" s="7">
        <f>34+39</f>
        <v>73</v>
      </c>
      <c r="AJ10" s="7">
        <f t="shared" si="12"/>
        <v>27</v>
      </c>
      <c r="AK10" s="13">
        <f t="shared" si="13"/>
        <v>3.1481481481481482E-3</v>
      </c>
      <c r="AL10" s="7">
        <f t="shared" si="14"/>
        <v>3</v>
      </c>
      <c r="AM10" s="7">
        <f>VLOOKUP(AL10,'Место-баллы'!$A$3:$E$52,2,0)</f>
        <v>90</v>
      </c>
      <c r="AN10" s="10"/>
      <c r="AO10" s="7">
        <v>4</v>
      </c>
      <c r="AP10" s="7">
        <v>5</v>
      </c>
      <c r="AQ10" s="13">
        <f t="shared" si="15"/>
        <v>2.8356481481481483E-3</v>
      </c>
      <c r="AR10" s="7">
        <f>35+48</f>
        <v>83</v>
      </c>
      <c r="AS10" s="7">
        <f t="shared" si="16"/>
        <v>17</v>
      </c>
      <c r="AT10" s="13">
        <f t="shared" si="17"/>
        <v>3.0324074074074077E-3</v>
      </c>
      <c r="AU10" s="7">
        <f t="shared" si="18"/>
        <v>4</v>
      </c>
      <c r="AV10" s="7">
        <f>VLOOKUP(AU10,'Место-баллы'!$A$3:$E$52,2,0)</f>
        <v>85</v>
      </c>
    </row>
    <row r="11" spans="2:48" x14ac:dyDescent="0.25">
      <c r="B11" s="7">
        <f t="shared" si="0"/>
        <v>4</v>
      </c>
      <c r="C11" s="7">
        <f t="shared" si="1"/>
        <v>425</v>
      </c>
      <c r="D11" s="7">
        <f>VLOOKUP(B11,'Место-баллы'!$A$3:$E$52,5,0)</f>
        <v>44</v>
      </c>
      <c r="E11" s="10"/>
      <c r="F11" s="10" t="s">
        <v>93</v>
      </c>
      <c r="G11" s="10" t="s">
        <v>94</v>
      </c>
      <c r="H11" s="15"/>
      <c r="I11" s="10"/>
      <c r="J11" s="7">
        <v>6</v>
      </c>
      <c r="K11" s="7">
        <v>13</v>
      </c>
      <c r="L11" s="13">
        <f t="shared" si="2"/>
        <v>4.31712962962963E-3</v>
      </c>
      <c r="M11" s="7">
        <v>120</v>
      </c>
      <c r="N11" s="7">
        <f t="shared" si="3"/>
        <v>0</v>
      </c>
      <c r="O11" s="13">
        <f t="shared" si="4"/>
        <v>4.31712962962963E-3</v>
      </c>
      <c r="P11" s="7">
        <f t="shared" si="5"/>
        <v>3</v>
      </c>
      <c r="Q11" s="7">
        <f>VLOOKUP(P11,'Место-баллы'!$A$3:$E$52,2,0)</f>
        <v>90</v>
      </c>
      <c r="R11" s="10"/>
      <c r="S11" s="7">
        <f>65+122.5</f>
        <v>187.5</v>
      </c>
      <c r="T11" s="7">
        <f t="shared" si="6"/>
        <v>4</v>
      </c>
      <c r="U11" s="7">
        <f>VLOOKUP(T11,'Место-баллы'!$A$3:$E$52,2,0)</f>
        <v>85</v>
      </c>
      <c r="V11" s="10"/>
      <c r="W11" s="7">
        <v>14</v>
      </c>
      <c r="X11" s="7">
        <v>19</v>
      </c>
      <c r="Y11" s="13">
        <f t="shared" si="7"/>
        <v>9.9421296296296289E-3</v>
      </c>
      <c r="Z11" s="7">
        <v>240</v>
      </c>
      <c r="AA11" s="7">
        <f t="shared" si="8"/>
        <v>0</v>
      </c>
      <c r="AB11" s="13">
        <f t="shared" si="9"/>
        <v>9.9421296296296289E-3</v>
      </c>
      <c r="AC11" s="7">
        <f t="shared" si="10"/>
        <v>4</v>
      </c>
      <c r="AD11" s="7">
        <f>VLOOKUP(AC11,'Место-баллы'!$A$3:$E$52,2,0)</f>
        <v>85</v>
      </c>
      <c r="AE11" s="10"/>
      <c r="AF11" s="7">
        <v>4</v>
      </c>
      <c r="AG11" s="7">
        <v>5</v>
      </c>
      <c r="AH11" s="13">
        <f t="shared" si="11"/>
        <v>2.8356481481481483E-3</v>
      </c>
      <c r="AI11" s="7">
        <f>34+32</f>
        <v>66</v>
      </c>
      <c r="AJ11" s="7">
        <f t="shared" si="12"/>
        <v>34</v>
      </c>
      <c r="AK11" s="13">
        <f t="shared" si="13"/>
        <v>3.2291666666666666E-3</v>
      </c>
      <c r="AL11" s="7">
        <f t="shared" si="14"/>
        <v>4</v>
      </c>
      <c r="AM11" s="7">
        <f>VLOOKUP(AL11,'Место-баллы'!$A$3:$E$52,2,0)</f>
        <v>85</v>
      </c>
      <c r="AN11" s="10"/>
      <c r="AO11" s="7">
        <v>4</v>
      </c>
      <c r="AP11" s="7">
        <v>5</v>
      </c>
      <c r="AQ11" s="13">
        <f t="shared" si="15"/>
        <v>2.8356481481481483E-3</v>
      </c>
      <c r="AR11" s="7">
        <f>36+43</f>
        <v>79</v>
      </c>
      <c r="AS11" s="7">
        <f t="shared" si="16"/>
        <v>21</v>
      </c>
      <c r="AT11" s="13">
        <f t="shared" si="17"/>
        <v>3.0787037037037037E-3</v>
      </c>
      <c r="AU11" s="7">
        <f t="shared" si="18"/>
        <v>5</v>
      </c>
      <c r="AV11" s="7">
        <f>VLOOKUP(AU11,'Место-баллы'!$A$3:$E$52,2,0)</f>
        <v>80</v>
      </c>
    </row>
    <row r="12" spans="2:48" x14ac:dyDescent="0.25">
      <c r="B12" s="7">
        <f t="shared" si="0"/>
        <v>5</v>
      </c>
      <c r="C12" s="7">
        <f t="shared" si="1"/>
        <v>408</v>
      </c>
      <c r="D12" s="7">
        <f>VLOOKUP(B12,'Место-баллы'!$A$3:$E$52,5,0)</f>
        <v>42</v>
      </c>
      <c r="E12" s="10"/>
      <c r="F12" s="10" t="s">
        <v>92</v>
      </c>
      <c r="G12" s="10" t="s">
        <v>64</v>
      </c>
      <c r="H12" s="15"/>
      <c r="I12" s="10"/>
      <c r="J12" s="7">
        <v>7</v>
      </c>
      <c r="K12" s="7">
        <v>2</v>
      </c>
      <c r="L12" s="13">
        <f t="shared" si="2"/>
        <v>4.8842592592592592E-3</v>
      </c>
      <c r="M12" s="7">
        <v>120</v>
      </c>
      <c r="N12" s="7">
        <f t="shared" si="3"/>
        <v>0</v>
      </c>
      <c r="O12" s="13">
        <f t="shared" si="4"/>
        <v>4.8842592592592592E-3</v>
      </c>
      <c r="P12" s="7">
        <f t="shared" si="5"/>
        <v>5</v>
      </c>
      <c r="Q12" s="7">
        <f>VLOOKUP(P12,'Место-баллы'!$A$3:$E$52,2,0)</f>
        <v>80</v>
      </c>
      <c r="R12" s="10"/>
      <c r="S12" s="7">
        <f>115+73</f>
        <v>188</v>
      </c>
      <c r="T12" s="7">
        <f t="shared" si="6"/>
        <v>3</v>
      </c>
      <c r="U12" s="7">
        <f>VLOOKUP(T12,'Место-баллы'!$A$3:$E$52,2,0)</f>
        <v>90</v>
      </c>
      <c r="V12" s="10"/>
      <c r="W12" s="7">
        <v>16</v>
      </c>
      <c r="X12" s="7">
        <v>5</v>
      </c>
      <c r="Y12" s="13">
        <f t="shared" si="7"/>
        <v>1.1168981481481481E-2</v>
      </c>
      <c r="Z12" s="7">
        <v>235</v>
      </c>
      <c r="AA12" s="7">
        <f t="shared" si="8"/>
        <v>5</v>
      </c>
      <c r="AB12" s="13">
        <f t="shared" si="9"/>
        <v>1.1226851851851851E-2</v>
      </c>
      <c r="AC12" s="7">
        <f t="shared" si="10"/>
        <v>7</v>
      </c>
      <c r="AD12" s="7">
        <f>VLOOKUP(AC12,'Место-баллы'!$A$3:$E$52,2,0)</f>
        <v>73</v>
      </c>
      <c r="AE12" s="10"/>
      <c r="AF12" s="7">
        <v>4</v>
      </c>
      <c r="AG12" s="7">
        <v>5</v>
      </c>
      <c r="AH12" s="13">
        <f t="shared" si="11"/>
        <v>2.8356481481481483E-3</v>
      </c>
      <c r="AI12" s="7">
        <f>32+29</f>
        <v>61</v>
      </c>
      <c r="AJ12" s="7">
        <f t="shared" si="12"/>
        <v>39</v>
      </c>
      <c r="AK12" s="13">
        <f t="shared" si="13"/>
        <v>3.2870370370370371E-3</v>
      </c>
      <c r="AL12" s="7">
        <f t="shared" si="14"/>
        <v>6</v>
      </c>
      <c r="AM12" s="7">
        <f>VLOOKUP(AL12,'Место-баллы'!$A$3:$E$52,2,0)</f>
        <v>75</v>
      </c>
      <c r="AN12" s="10"/>
      <c r="AO12" s="7">
        <v>4</v>
      </c>
      <c r="AP12" s="7">
        <v>5</v>
      </c>
      <c r="AQ12" s="13">
        <f t="shared" si="15"/>
        <v>2.8356481481481483E-3</v>
      </c>
      <c r="AR12" s="7">
        <f>36+48</f>
        <v>84</v>
      </c>
      <c r="AS12" s="7">
        <f t="shared" si="16"/>
        <v>16</v>
      </c>
      <c r="AT12" s="13">
        <f t="shared" si="17"/>
        <v>3.0208333333333337E-3</v>
      </c>
      <c r="AU12" s="7">
        <f t="shared" si="18"/>
        <v>3</v>
      </c>
      <c r="AV12" s="7">
        <f>VLOOKUP(AU12,'Место-баллы'!$A$3:$E$52,2,0)</f>
        <v>90</v>
      </c>
    </row>
    <row r="13" spans="2:48" x14ac:dyDescent="0.25">
      <c r="B13" s="7">
        <f t="shared" si="0"/>
        <v>6</v>
      </c>
      <c r="C13" s="7">
        <f t="shared" si="1"/>
        <v>385</v>
      </c>
      <c r="D13" s="7">
        <f>VLOOKUP(B13,'Место-баллы'!$A$3:$E$52,5,0)</f>
        <v>41</v>
      </c>
      <c r="E13" s="10"/>
      <c r="F13" s="10" t="s">
        <v>101</v>
      </c>
      <c r="G13" s="10" t="s">
        <v>102</v>
      </c>
      <c r="H13" s="15"/>
      <c r="I13" s="10"/>
      <c r="J13" s="7">
        <v>7</v>
      </c>
      <c r="K13" s="7">
        <v>19</v>
      </c>
      <c r="L13" s="13">
        <f t="shared" si="2"/>
        <v>5.0810185185185186E-3</v>
      </c>
      <c r="M13" s="7">
        <v>120</v>
      </c>
      <c r="N13" s="7">
        <f t="shared" si="3"/>
        <v>0</v>
      </c>
      <c r="O13" s="13">
        <f t="shared" si="4"/>
        <v>5.0810185185185186E-3</v>
      </c>
      <c r="P13" s="7">
        <f t="shared" si="5"/>
        <v>6</v>
      </c>
      <c r="Q13" s="7">
        <f>VLOOKUP(P13,'Место-баллы'!$A$3:$E$52,2,0)</f>
        <v>75</v>
      </c>
      <c r="R13" s="10"/>
      <c r="S13" s="7">
        <f>73+100</f>
        <v>173</v>
      </c>
      <c r="T13" s="7">
        <f t="shared" si="6"/>
        <v>6</v>
      </c>
      <c r="U13" s="7">
        <f>VLOOKUP(T13,'Место-баллы'!$A$3:$E$52,2,0)</f>
        <v>75</v>
      </c>
      <c r="V13" s="10"/>
      <c r="W13" s="7">
        <v>15</v>
      </c>
      <c r="X13" s="7">
        <v>17</v>
      </c>
      <c r="Y13" s="13">
        <f t="shared" si="7"/>
        <v>1.0613425925925925E-2</v>
      </c>
      <c r="Z13" s="7">
        <v>240</v>
      </c>
      <c r="AA13" s="7">
        <f t="shared" si="8"/>
        <v>0</v>
      </c>
      <c r="AB13" s="13">
        <f t="shared" si="9"/>
        <v>1.0613425925925925E-2</v>
      </c>
      <c r="AC13" s="7">
        <f t="shared" si="10"/>
        <v>5</v>
      </c>
      <c r="AD13" s="7">
        <f>VLOOKUP(AC13,'Место-баллы'!$A$3:$E$52,2,0)</f>
        <v>80</v>
      </c>
      <c r="AE13" s="10"/>
      <c r="AF13" s="7">
        <v>4</v>
      </c>
      <c r="AG13" s="7">
        <v>5</v>
      </c>
      <c r="AH13" s="13">
        <f t="shared" si="11"/>
        <v>2.8356481481481483E-3</v>
      </c>
      <c r="AI13" s="7">
        <v>65</v>
      </c>
      <c r="AJ13" s="7">
        <f t="shared" si="12"/>
        <v>35</v>
      </c>
      <c r="AK13" s="13">
        <f t="shared" si="13"/>
        <v>3.2407407407407411E-3</v>
      </c>
      <c r="AL13" s="7">
        <f t="shared" si="14"/>
        <v>5</v>
      </c>
      <c r="AM13" s="7">
        <f>VLOOKUP(AL13,'Место-баллы'!$A$3:$E$52,2,0)</f>
        <v>80</v>
      </c>
      <c r="AN13" s="10"/>
      <c r="AO13" s="7">
        <v>4</v>
      </c>
      <c r="AP13" s="7">
        <v>5</v>
      </c>
      <c r="AQ13" s="13">
        <f t="shared" si="15"/>
        <v>2.8356481481481483E-3</v>
      </c>
      <c r="AR13" s="7">
        <f>25+47</f>
        <v>72</v>
      </c>
      <c r="AS13" s="7">
        <f t="shared" si="16"/>
        <v>28</v>
      </c>
      <c r="AT13" s="13">
        <f t="shared" si="17"/>
        <v>3.1597222222222226E-3</v>
      </c>
      <c r="AU13" s="7">
        <f t="shared" si="18"/>
        <v>6</v>
      </c>
      <c r="AV13" s="7">
        <f>VLOOKUP(AU13,'Место-баллы'!$A$3:$E$52,2,0)</f>
        <v>75</v>
      </c>
    </row>
    <row r="14" spans="2:48" x14ac:dyDescent="0.25">
      <c r="B14" s="7">
        <f t="shared" si="0"/>
        <v>7</v>
      </c>
      <c r="C14" s="7">
        <f t="shared" si="1"/>
        <v>367</v>
      </c>
      <c r="D14" s="7">
        <f>VLOOKUP(B14,'Место-баллы'!$A$3:$E$52,5,0)</f>
        <v>40</v>
      </c>
      <c r="E14" s="10"/>
      <c r="F14" s="10" t="s">
        <v>97</v>
      </c>
      <c r="G14" s="10" t="s">
        <v>49</v>
      </c>
      <c r="H14" s="15"/>
      <c r="I14" s="10"/>
      <c r="J14" s="7">
        <v>7</v>
      </c>
      <c r="K14" s="7">
        <v>32</v>
      </c>
      <c r="L14" s="13">
        <f t="shared" si="2"/>
        <v>5.2314814814814811E-3</v>
      </c>
      <c r="M14" s="7">
        <v>120</v>
      </c>
      <c r="N14" s="7">
        <f t="shared" si="3"/>
        <v>0</v>
      </c>
      <c r="O14" s="13">
        <f t="shared" si="4"/>
        <v>5.2314814814814811E-3</v>
      </c>
      <c r="P14" s="7">
        <f t="shared" si="5"/>
        <v>7</v>
      </c>
      <c r="Q14" s="7">
        <f>VLOOKUP(P14,'Место-баллы'!$A$3:$E$52,2,0)</f>
        <v>73</v>
      </c>
      <c r="R14" s="10"/>
      <c r="S14" s="7">
        <f>68+100</f>
        <v>168</v>
      </c>
      <c r="T14" s="7">
        <f t="shared" si="6"/>
        <v>7</v>
      </c>
      <c r="U14" s="7">
        <f>VLOOKUP(T14,'Место-баллы'!$A$3:$E$52,2,0)</f>
        <v>73</v>
      </c>
      <c r="V14" s="10"/>
      <c r="W14" s="7">
        <v>15</v>
      </c>
      <c r="X14" s="7">
        <v>59</v>
      </c>
      <c r="Y14" s="13">
        <f t="shared" si="7"/>
        <v>1.1099537037037036E-2</v>
      </c>
      <c r="Z14" s="7">
        <v>240</v>
      </c>
      <c r="AA14" s="7">
        <f t="shared" si="8"/>
        <v>0</v>
      </c>
      <c r="AB14" s="13">
        <f t="shared" si="9"/>
        <v>1.1099537037037036E-2</v>
      </c>
      <c r="AC14" s="7">
        <f t="shared" si="10"/>
        <v>6</v>
      </c>
      <c r="AD14" s="7">
        <f>VLOOKUP(AC14,'Место-баллы'!$A$3:$E$52,2,0)</f>
        <v>75</v>
      </c>
      <c r="AE14" s="10"/>
      <c r="AF14" s="7">
        <v>4</v>
      </c>
      <c r="AG14" s="7">
        <v>5</v>
      </c>
      <c r="AH14" s="13">
        <f t="shared" si="11"/>
        <v>2.8356481481481483E-3</v>
      </c>
      <c r="AI14" s="7">
        <f>24+18</f>
        <v>42</v>
      </c>
      <c r="AJ14" s="7">
        <f t="shared" si="12"/>
        <v>58</v>
      </c>
      <c r="AK14" s="13">
        <f t="shared" si="13"/>
        <v>3.5069444444444445E-3</v>
      </c>
      <c r="AL14" s="7">
        <f t="shared" si="14"/>
        <v>7</v>
      </c>
      <c r="AM14" s="7">
        <f>VLOOKUP(AL14,'Место-баллы'!$A$3:$E$52,2,0)</f>
        <v>73</v>
      </c>
      <c r="AN14" s="10"/>
      <c r="AO14" s="7">
        <v>4</v>
      </c>
      <c r="AP14" s="7">
        <v>5</v>
      </c>
      <c r="AQ14" s="13">
        <f t="shared" si="15"/>
        <v>2.8356481481481483E-3</v>
      </c>
      <c r="AR14" s="7">
        <f>21+48</f>
        <v>69</v>
      </c>
      <c r="AS14" s="7">
        <f t="shared" si="16"/>
        <v>31</v>
      </c>
      <c r="AT14" s="13">
        <f t="shared" si="17"/>
        <v>3.1944444444444446E-3</v>
      </c>
      <c r="AU14" s="7">
        <f t="shared" si="18"/>
        <v>7</v>
      </c>
      <c r="AV14" s="7">
        <f>VLOOKUP(AU14,'Место-баллы'!$A$3:$E$52,2,0)</f>
        <v>73</v>
      </c>
    </row>
    <row r="15" spans="2:48" x14ac:dyDescent="0.25">
      <c r="B15" s="7">
        <f t="shared" si="0"/>
        <v>8</v>
      </c>
      <c r="C15" s="7">
        <f t="shared" si="1"/>
        <v>351</v>
      </c>
      <c r="D15" s="7">
        <f>VLOOKUP(B15,'Место-баллы'!$A$3:$E$52,5,0)</f>
        <v>39</v>
      </c>
      <c r="E15" s="10"/>
      <c r="F15" s="10" t="s">
        <v>100</v>
      </c>
      <c r="G15" s="10" t="s">
        <v>99</v>
      </c>
      <c r="H15" s="15"/>
      <c r="I15" s="10"/>
      <c r="J15" s="7">
        <v>10</v>
      </c>
      <c r="K15" s="7">
        <v>5</v>
      </c>
      <c r="L15" s="13">
        <f t="shared" si="2"/>
        <v>7.0023148148148145E-3</v>
      </c>
      <c r="M15" s="7">
        <v>116</v>
      </c>
      <c r="N15" s="7">
        <f t="shared" si="3"/>
        <v>4</v>
      </c>
      <c r="O15" s="13">
        <f t="shared" si="4"/>
        <v>7.0486111111111105E-3</v>
      </c>
      <c r="P15" s="7">
        <f t="shared" si="5"/>
        <v>8</v>
      </c>
      <c r="Q15" s="7">
        <f>VLOOKUP(P15,'Место-баллы'!$A$3:$E$52,2,0)</f>
        <v>71</v>
      </c>
      <c r="R15" s="10"/>
      <c r="S15" s="7">
        <f>47+80</f>
        <v>127</v>
      </c>
      <c r="T15" s="7">
        <f t="shared" si="6"/>
        <v>10</v>
      </c>
      <c r="U15" s="7">
        <f>VLOOKUP(T15,'Место-баллы'!$A$3:$E$52,2,0)</f>
        <v>67</v>
      </c>
      <c r="V15" s="10"/>
      <c r="W15" s="7">
        <v>16</v>
      </c>
      <c r="X15" s="7">
        <v>5</v>
      </c>
      <c r="Y15" s="13">
        <f t="shared" si="7"/>
        <v>1.1168981481481481E-2</v>
      </c>
      <c r="Z15" s="7">
        <v>230</v>
      </c>
      <c r="AA15" s="7">
        <f t="shared" si="8"/>
        <v>10</v>
      </c>
      <c r="AB15" s="13">
        <f t="shared" si="9"/>
        <v>1.1284722222222222E-2</v>
      </c>
      <c r="AC15" s="7">
        <f t="shared" si="10"/>
        <v>8</v>
      </c>
      <c r="AD15" s="7">
        <f>VLOOKUP(AC15,'Место-баллы'!$A$3:$E$52,2,0)</f>
        <v>71</v>
      </c>
      <c r="AE15" s="10"/>
      <c r="AF15" s="7">
        <v>4</v>
      </c>
      <c r="AG15" s="7">
        <v>5</v>
      </c>
      <c r="AH15" s="13">
        <f t="shared" si="11"/>
        <v>2.8356481481481483E-3</v>
      </c>
      <c r="AI15" s="7">
        <f>21+15</f>
        <v>36</v>
      </c>
      <c r="AJ15" s="7">
        <f t="shared" si="12"/>
        <v>64</v>
      </c>
      <c r="AK15" s="13">
        <f t="shared" si="13"/>
        <v>3.5763888888888889E-3</v>
      </c>
      <c r="AL15" s="7">
        <f t="shared" si="14"/>
        <v>8</v>
      </c>
      <c r="AM15" s="7">
        <f>VLOOKUP(AL15,'Место-баллы'!$A$3:$E$52,2,0)</f>
        <v>71</v>
      </c>
      <c r="AN15" s="10"/>
      <c r="AO15" s="7">
        <v>4</v>
      </c>
      <c r="AP15" s="7">
        <v>5</v>
      </c>
      <c r="AQ15" s="13">
        <f t="shared" si="15"/>
        <v>2.8356481481481483E-3</v>
      </c>
      <c r="AR15" s="7">
        <v>62</v>
      </c>
      <c r="AS15" s="7">
        <f t="shared" si="16"/>
        <v>38</v>
      </c>
      <c r="AT15" s="13">
        <f t="shared" si="17"/>
        <v>3.2754629629629631E-3</v>
      </c>
      <c r="AU15" s="7">
        <f t="shared" si="18"/>
        <v>8</v>
      </c>
      <c r="AV15" s="7">
        <f>VLOOKUP(AU15,'Место-баллы'!$A$3:$E$52,2,0)</f>
        <v>71</v>
      </c>
    </row>
    <row r="16" spans="2:48" x14ac:dyDescent="0.25">
      <c r="B16" s="7">
        <v>9</v>
      </c>
      <c r="C16" s="7">
        <f t="shared" si="1"/>
        <v>209</v>
      </c>
      <c r="D16" s="7">
        <f>VLOOKUP(B16,'Место-баллы'!$A$3:$E$52,5,0)</f>
        <v>38</v>
      </c>
      <c r="E16" s="10"/>
      <c r="F16" s="10" t="s">
        <v>90</v>
      </c>
      <c r="G16" s="10" t="s">
        <v>49</v>
      </c>
      <c r="H16" s="15"/>
      <c r="I16" s="10"/>
      <c r="J16" s="7">
        <v>10</v>
      </c>
      <c r="K16" s="7">
        <v>5</v>
      </c>
      <c r="L16" s="13">
        <f t="shared" si="2"/>
        <v>7.0023148148148145E-3</v>
      </c>
      <c r="M16" s="7">
        <v>106</v>
      </c>
      <c r="N16" s="7">
        <f t="shared" si="3"/>
        <v>14</v>
      </c>
      <c r="O16" s="13">
        <f t="shared" si="4"/>
        <v>7.1643518518518514E-3</v>
      </c>
      <c r="P16" s="7">
        <f t="shared" si="5"/>
        <v>9</v>
      </c>
      <c r="Q16" s="7">
        <f>VLOOKUP(P16,'Место-баллы'!$A$3:$E$52,2,0)</f>
        <v>69</v>
      </c>
      <c r="R16" s="10"/>
      <c r="S16" s="7">
        <f>52+91</f>
        <v>143</v>
      </c>
      <c r="T16" s="7">
        <f t="shared" si="6"/>
        <v>8</v>
      </c>
      <c r="U16" s="7">
        <f>VLOOKUP(T16,'Место-баллы'!$A$3:$E$52,2,0)</f>
        <v>71</v>
      </c>
      <c r="V16" s="10"/>
      <c r="W16" s="7">
        <v>16</v>
      </c>
      <c r="X16" s="7">
        <v>5</v>
      </c>
      <c r="Y16" s="13">
        <f t="shared" si="7"/>
        <v>1.1168981481481481E-2</v>
      </c>
      <c r="Z16" s="7">
        <v>228</v>
      </c>
      <c r="AA16" s="7">
        <f t="shared" si="8"/>
        <v>12</v>
      </c>
      <c r="AB16" s="13">
        <f t="shared" si="9"/>
        <v>1.1307870370370369E-2</v>
      </c>
      <c r="AC16" s="7">
        <f t="shared" si="10"/>
        <v>9</v>
      </c>
      <c r="AD16" s="7">
        <f>VLOOKUP(AC16,'Место-баллы'!$A$3:$E$52,2,0)</f>
        <v>69</v>
      </c>
      <c r="AE16" s="10"/>
      <c r="AF16" s="7"/>
      <c r="AG16" s="7"/>
      <c r="AH16" s="13"/>
      <c r="AI16" s="7"/>
      <c r="AJ16" s="7"/>
      <c r="AK16" s="13"/>
      <c r="AL16" s="7"/>
      <c r="AM16" s="7">
        <v>0</v>
      </c>
      <c r="AN16" s="10"/>
      <c r="AO16" s="7"/>
      <c r="AP16" s="7"/>
      <c r="AQ16" s="13"/>
      <c r="AR16" s="7"/>
      <c r="AS16" s="7"/>
      <c r="AT16" s="13"/>
      <c r="AU16" s="7"/>
      <c r="AV16" s="7">
        <v>0</v>
      </c>
    </row>
    <row r="17" spans="2:48" x14ac:dyDescent="0.25">
      <c r="B17" s="7">
        <f>RANK(C17,C$8:C$17,0)</f>
        <v>10</v>
      </c>
      <c r="C17" s="7">
        <f t="shared" si="1"/>
        <v>205</v>
      </c>
      <c r="D17" s="7">
        <f>VLOOKUP(B17,'Место-баллы'!$A$3:$E$52,5,0)</f>
        <v>37</v>
      </c>
      <c r="E17" s="10"/>
      <c r="F17" s="10" t="s">
        <v>98</v>
      </c>
      <c r="G17" s="10" t="s">
        <v>99</v>
      </c>
      <c r="H17" s="15"/>
      <c r="I17" s="10"/>
      <c r="J17" s="7">
        <v>10</v>
      </c>
      <c r="K17" s="7">
        <v>5</v>
      </c>
      <c r="L17" s="13">
        <f t="shared" si="2"/>
        <v>7.0023148148148145E-3</v>
      </c>
      <c r="M17" s="7">
        <v>92</v>
      </c>
      <c r="N17" s="7">
        <f t="shared" si="3"/>
        <v>28</v>
      </c>
      <c r="O17" s="13">
        <f t="shared" si="4"/>
        <v>7.3263888888888884E-3</v>
      </c>
      <c r="P17" s="7">
        <f t="shared" si="5"/>
        <v>10</v>
      </c>
      <c r="Q17" s="7">
        <f>VLOOKUP(P17,'Место-баллы'!$A$3:$E$52,2,0)</f>
        <v>67</v>
      </c>
      <c r="R17" s="10"/>
      <c r="S17" s="7">
        <f>48+80</f>
        <v>128</v>
      </c>
      <c r="T17" s="7">
        <f t="shared" si="6"/>
        <v>9</v>
      </c>
      <c r="U17" s="7">
        <f>VLOOKUP(T17,'Место-баллы'!$A$3:$E$52,2,0)</f>
        <v>69</v>
      </c>
      <c r="V17" s="10"/>
      <c r="W17" s="7">
        <v>16</v>
      </c>
      <c r="X17" s="7">
        <v>5</v>
      </c>
      <c r="Y17" s="13">
        <f t="shared" si="7"/>
        <v>1.1168981481481481E-2</v>
      </c>
      <c r="Z17" s="7">
        <v>228</v>
      </c>
      <c r="AA17" s="7">
        <f t="shared" si="8"/>
        <v>12</v>
      </c>
      <c r="AB17" s="13">
        <f t="shared" si="9"/>
        <v>1.1307870370370369E-2</v>
      </c>
      <c r="AC17" s="7">
        <f t="shared" si="10"/>
        <v>9</v>
      </c>
      <c r="AD17" s="7">
        <f>VLOOKUP(AC17,'Место-баллы'!$A$3:$E$52,2,0)</f>
        <v>69</v>
      </c>
      <c r="AE17" s="10"/>
      <c r="AF17" s="7"/>
      <c r="AG17" s="7"/>
      <c r="AH17" s="13"/>
      <c r="AI17" s="7"/>
      <c r="AJ17" s="7"/>
      <c r="AK17" s="13"/>
      <c r="AL17" s="7"/>
      <c r="AM17" s="7">
        <v>0</v>
      </c>
      <c r="AN17" s="10"/>
      <c r="AO17" s="7"/>
      <c r="AP17" s="7"/>
      <c r="AQ17" s="13"/>
      <c r="AR17" s="7"/>
      <c r="AS17" s="7"/>
      <c r="AT17" s="13"/>
      <c r="AU17" s="7"/>
      <c r="AV17" s="7">
        <v>0</v>
      </c>
    </row>
    <row r="18" spans="2:48" ht="15.75" customHeight="1" x14ac:dyDescent="0.25"/>
    <row r="19" spans="2:48" ht="15.75" customHeight="1" x14ac:dyDescent="0.25"/>
    <row r="20" spans="2:48" ht="15.75" customHeight="1" x14ac:dyDescent="0.25"/>
    <row r="21" spans="2:48" ht="15.75" customHeight="1" x14ac:dyDescent="0.25"/>
    <row r="22" spans="2:48" ht="15.75" customHeight="1" x14ac:dyDescent="0.25"/>
    <row r="23" spans="2:48" ht="15.75" customHeight="1" x14ac:dyDescent="0.25"/>
    <row r="24" spans="2:48" ht="15.75" customHeight="1" x14ac:dyDescent="0.25"/>
    <row r="25" spans="2:48" ht="15.75" customHeight="1" x14ac:dyDescent="0.25"/>
    <row r="26" spans="2:48" ht="15.75" customHeight="1" x14ac:dyDescent="0.25"/>
    <row r="27" spans="2:48" ht="15.75" customHeight="1" x14ac:dyDescent="0.25"/>
    <row r="28" spans="2:48" ht="15.75" customHeight="1" x14ac:dyDescent="0.25"/>
    <row r="29" spans="2:48" ht="15.75" customHeight="1" x14ac:dyDescent="0.25"/>
    <row r="30" spans="2:48" ht="15.75" customHeight="1" x14ac:dyDescent="0.25"/>
    <row r="31" spans="2:48" ht="15.75" customHeight="1" x14ac:dyDescent="0.25"/>
    <row r="32" spans="2:4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</sheetData>
  <autoFilter ref="B7:AV7" xr:uid="{D529E903-D6D4-4953-98D9-990DFF2AE683}">
    <sortState xmlns:xlrd2="http://schemas.microsoft.com/office/spreadsheetml/2017/richdata2" ref="B8:AV17">
      <sortCondition ref="B7"/>
    </sortState>
  </autoFilter>
  <mergeCells count="7">
    <mergeCell ref="AO5:AV6"/>
    <mergeCell ref="AF5:AM6"/>
    <mergeCell ref="B5:D6"/>
    <mergeCell ref="F5:H6"/>
    <mergeCell ref="J5:Q6"/>
    <mergeCell ref="S5:U6"/>
    <mergeCell ref="W5:AD6"/>
  </mergeCells>
  <conditionalFormatting sqref="F8:F17">
    <cfRule type="duplicateValues" dxfId="4" priority="6"/>
  </conditionalFormatting>
  <printOptions horizontalCentered="1" verticalCentered="1"/>
  <pageMargins left="0" right="0" top="0" bottom="0" header="0" footer="0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9B7C-99C9-474B-8595-5963085F3940}">
  <sheetPr>
    <pageSetUpPr fitToPage="1"/>
  </sheetPr>
  <dimension ref="B1:AV54"/>
  <sheetViews>
    <sheetView zoomScaleNormal="100" workbookViewId="0">
      <pane xSplit="11" ySplit="7" topLeftCell="P11" activePane="bottomRight" state="frozen"/>
      <selection pane="topRight" activeCell="L1" sqref="L1"/>
      <selection pane="bottomLeft" activeCell="A8" sqref="A8"/>
      <selection pane="bottomRight" activeCell="G13" sqref="G13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21.140625" bestFit="1" customWidth="1"/>
    <col min="7" max="7" width="24.710937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customWidth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7.42578125" customWidth="1"/>
    <col min="20" max="20" width="7.140625" customWidth="1"/>
    <col min="21" max="21" width="6.85546875" customWidth="1"/>
    <col min="22" max="22" width="1.42578125" customWidth="1"/>
    <col min="23" max="23" width="5.140625" hidden="1" customWidth="1" outlineLevel="1"/>
    <col min="24" max="24" width="4.28515625" hidden="1" customWidth="1" outlineLevel="1"/>
    <col min="25" max="25" width="7.140625" customWidth="1" collapsed="1"/>
    <col min="26" max="26" width="6.85546875" customWidth="1"/>
    <col min="27" max="27" width="7.85546875" hidden="1" customWidth="1" outlineLevel="1"/>
    <col min="28" max="28" width="7.140625" hidden="1" customWidth="1" outlineLevel="1"/>
    <col min="29" max="29" width="7.140625" customWidth="1" collapsed="1"/>
    <col min="30" max="30" width="6.85546875" customWidth="1"/>
    <col min="31" max="31" width="1.42578125" customWidth="1"/>
    <col min="32" max="32" width="5.140625" hidden="1" customWidth="1" outlineLevel="1"/>
    <col min="33" max="33" width="4.28515625" hidden="1" customWidth="1" outlineLevel="1"/>
    <col min="34" max="34" width="7.140625" hidden="1" customWidth="1" outlineLevel="1"/>
    <col min="35" max="35" width="6.85546875" customWidth="1" collapsed="1"/>
    <col min="36" max="36" width="7.85546875" hidden="1" customWidth="1" outlineLevel="1"/>
    <col min="37" max="37" width="7.140625" hidden="1" customWidth="1" outlineLevel="1"/>
    <col min="38" max="38" width="7.140625" customWidth="1" collapsed="1"/>
    <col min="39" max="39" width="6.85546875" customWidth="1"/>
    <col min="40" max="40" width="1.42578125" customWidth="1"/>
    <col min="41" max="41" width="5.140625" hidden="1" customWidth="1" outlineLevel="1"/>
    <col min="42" max="42" width="4.28515625" hidden="1" customWidth="1" outlineLevel="1"/>
    <col min="43" max="43" width="7.140625" hidden="1" customWidth="1" outlineLevel="1"/>
    <col min="44" max="44" width="6.85546875" customWidth="1" collapsed="1"/>
    <col min="45" max="45" width="7.85546875" hidden="1" customWidth="1" outlineLevel="1"/>
    <col min="46" max="46" width="7.140625" hidden="1" customWidth="1" outlineLevel="1"/>
    <col min="47" max="47" width="7.140625" customWidth="1" collapsed="1"/>
    <col min="48" max="48" width="6.85546875" customWidth="1"/>
  </cols>
  <sheetData>
    <row r="1" spans="2:48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4">
        <v>1</v>
      </c>
      <c r="W1" s="3"/>
      <c r="X1" s="3"/>
      <c r="Y1" s="3"/>
      <c r="Z1" s="3"/>
      <c r="AA1" s="3"/>
      <c r="AB1" s="3"/>
      <c r="AC1" s="3"/>
      <c r="AD1" s="4">
        <v>1</v>
      </c>
      <c r="AF1" s="3"/>
      <c r="AG1" s="3"/>
      <c r="AH1" s="3"/>
      <c r="AI1" s="3"/>
      <c r="AJ1" s="3"/>
      <c r="AK1" s="3"/>
      <c r="AL1" s="3"/>
      <c r="AM1" s="4">
        <v>1</v>
      </c>
      <c r="AO1" s="3"/>
      <c r="AP1" s="3"/>
      <c r="AQ1" s="3"/>
      <c r="AR1" s="3"/>
      <c r="AS1" s="3"/>
      <c r="AT1" s="3"/>
      <c r="AU1" s="3"/>
      <c r="AV1" s="4">
        <v>1</v>
      </c>
    </row>
    <row r="2" spans="2:48" x14ac:dyDescent="0.25">
      <c r="F2" s="12"/>
      <c r="G2" s="12"/>
      <c r="H2" s="12"/>
      <c r="J2" s="3"/>
      <c r="K2" s="3"/>
      <c r="L2" s="3"/>
      <c r="M2" s="5">
        <f>2*(2+4+6+8+10)+20+16+12+8+4</f>
        <v>120</v>
      </c>
      <c r="N2" s="3"/>
      <c r="O2" s="3"/>
      <c r="P2" s="3"/>
      <c r="Q2" s="3"/>
      <c r="S2" s="3"/>
      <c r="T2" s="3"/>
      <c r="U2" s="3"/>
      <c r="W2" s="3"/>
      <c r="X2" s="3"/>
      <c r="Y2" s="3"/>
      <c r="Z2" s="5">
        <v>240</v>
      </c>
      <c r="AA2" s="3"/>
      <c r="AB2" s="3"/>
      <c r="AC2" s="3"/>
      <c r="AD2" s="3"/>
      <c r="AF2" s="3"/>
      <c r="AG2" s="3"/>
      <c r="AH2" s="3"/>
      <c r="AI2" s="5">
        <v>100</v>
      </c>
      <c r="AJ2" s="3"/>
      <c r="AK2" s="3"/>
      <c r="AL2" s="3"/>
      <c r="AM2" s="3"/>
      <c r="AO2" s="3"/>
      <c r="AP2" s="3"/>
      <c r="AQ2" s="3"/>
      <c r="AR2" s="5">
        <v>100</v>
      </c>
      <c r="AS2" s="3"/>
      <c r="AT2" s="3"/>
      <c r="AU2" s="3"/>
      <c r="AV2" s="3"/>
    </row>
    <row r="3" spans="2:48" x14ac:dyDescent="0.25">
      <c r="F3" s="12"/>
      <c r="G3" s="12"/>
      <c r="H3" s="12"/>
      <c r="J3" s="3"/>
      <c r="K3" s="3"/>
      <c r="L3" s="3"/>
      <c r="M3" s="6" t="s">
        <v>31</v>
      </c>
      <c r="N3" s="3"/>
      <c r="O3" s="3"/>
      <c r="P3" s="3"/>
      <c r="Q3" s="3"/>
      <c r="S3" s="6"/>
      <c r="T3" s="3"/>
      <c r="U3" s="3"/>
      <c r="W3" s="3"/>
      <c r="X3" s="3"/>
      <c r="Y3" s="3"/>
      <c r="Z3" s="6" t="s">
        <v>20</v>
      </c>
      <c r="AA3" s="3"/>
      <c r="AB3" s="3"/>
      <c r="AC3" s="3"/>
      <c r="AD3" s="3"/>
      <c r="AF3" s="3"/>
      <c r="AG3" s="3"/>
      <c r="AH3" s="3"/>
      <c r="AI3" s="6" t="s">
        <v>34</v>
      </c>
      <c r="AJ3" s="3"/>
      <c r="AK3" s="3"/>
      <c r="AL3" s="3"/>
      <c r="AM3" s="3"/>
      <c r="AO3" s="3"/>
      <c r="AP3" s="3"/>
      <c r="AQ3" s="3"/>
      <c r="AR3" s="6" t="s">
        <v>34</v>
      </c>
      <c r="AS3" s="3"/>
      <c r="AT3" s="3"/>
      <c r="AU3" s="3"/>
      <c r="AV3" s="3"/>
    </row>
    <row r="4" spans="2:48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  <c r="AL4" s="3"/>
      <c r="AM4" s="3"/>
      <c r="AO4" s="3"/>
      <c r="AP4" s="3"/>
      <c r="AQ4" s="3"/>
      <c r="AR4" s="3"/>
      <c r="AS4" s="3"/>
      <c r="AT4" s="3"/>
      <c r="AU4" s="3"/>
      <c r="AV4" s="3"/>
    </row>
    <row r="5" spans="2:48" ht="15" customHeight="1" x14ac:dyDescent="0.25">
      <c r="B5" s="24" t="s">
        <v>4</v>
      </c>
      <c r="C5" s="25"/>
      <c r="D5" s="26"/>
      <c r="E5" s="7"/>
      <c r="F5" s="24" t="s">
        <v>38</v>
      </c>
      <c r="G5" s="25"/>
      <c r="H5" s="26"/>
      <c r="I5" s="7"/>
      <c r="J5" s="24" t="s">
        <v>27</v>
      </c>
      <c r="K5" s="25"/>
      <c r="L5" s="25"/>
      <c r="M5" s="25"/>
      <c r="N5" s="25"/>
      <c r="O5" s="25"/>
      <c r="P5" s="25"/>
      <c r="Q5" s="26"/>
      <c r="R5" s="7"/>
      <c r="S5" s="25" t="s">
        <v>28</v>
      </c>
      <c r="T5" s="25"/>
      <c r="U5" s="26"/>
      <c r="V5" s="7"/>
      <c r="W5" s="24" t="s">
        <v>19</v>
      </c>
      <c r="X5" s="25"/>
      <c r="Y5" s="25"/>
      <c r="Z5" s="25"/>
      <c r="AA5" s="25"/>
      <c r="AB5" s="25"/>
      <c r="AC5" s="25"/>
      <c r="AD5" s="26"/>
      <c r="AE5" s="7"/>
      <c r="AF5" s="24" t="s">
        <v>35</v>
      </c>
      <c r="AG5" s="25"/>
      <c r="AH5" s="25"/>
      <c r="AI5" s="25"/>
      <c r="AJ5" s="25"/>
      <c r="AK5" s="25"/>
      <c r="AL5" s="25"/>
      <c r="AM5" s="26"/>
      <c r="AN5" s="7"/>
      <c r="AO5" s="24" t="s">
        <v>36</v>
      </c>
      <c r="AP5" s="25"/>
      <c r="AQ5" s="25"/>
      <c r="AR5" s="25"/>
      <c r="AS5" s="25"/>
      <c r="AT5" s="25"/>
      <c r="AU5" s="25"/>
      <c r="AV5" s="26"/>
    </row>
    <row r="6" spans="2:48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8"/>
      <c r="T6" s="28"/>
      <c r="U6" s="29"/>
      <c r="V6" s="8"/>
      <c r="W6" s="27"/>
      <c r="X6" s="28"/>
      <c r="Y6" s="28"/>
      <c r="Z6" s="28"/>
      <c r="AA6" s="28"/>
      <c r="AB6" s="28"/>
      <c r="AC6" s="28"/>
      <c r="AD6" s="29"/>
      <c r="AE6" s="8"/>
      <c r="AF6" s="27"/>
      <c r="AG6" s="28"/>
      <c r="AH6" s="28"/>
      <c r="AI6" s="28"/>
      <c r="AJ6" s="28"/>
      <c r="AK6" s="28"/>
      <c r="AL6" s="28"/>
      <c r="AM6" s="29"/>
      <c r="AN6" s="8"/>
      <c r="AO6" s="27"/>
      <c r="AP6" s="28"/>
      <c r="AQ6" s="28"/>
      <c r="AR6" s="28"/>
      <c r="AS6" s="28"/>
      <c r="AT6" s="28"/>
      <c r="AU6" s="28"/>
      <c r="AV6" s="29"/>
    </row>
    <row r="7" spans="2:48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6" t="s">
        <v>25</v>
      </c>
      <c r="T7" s="11" t="s">
        <v>12</v>
      </c>
      <c r="U7" s="11" t="s">
        <v>13</v>
      </c>
      <c r="V7" s="9"/>
      <c r="W7" s="11" t="s">
        <v>9</v>
      </c>
      <c r="X7" s="11" t="s">
        <v>10</v>
      </c>
      <c r="Y7" s="11" t="s">
        <v>11</v>
      </c>
      <c r="Z7" s="16" t="s">
        <v>14</v>
      </c>
      <c r="AA7" s="11" t="s">
        <v>15</v>
      </c>
      <c r="AB7" s="11" t="s">
        <v>11</v>
      </c>
      <c r="AC7" s="11" t="s">
        <v>12</v>
      </c>
      <c r="AD7" s="11" t="s">
        <v>13</v>
      </c>
      <c r="AE7" s="9"/>
      <c r="AF7" s="11" t="s">
        <v>9</v>
      </c>
      <c r="AG7" s="11" t="s">
        <v>10</v>
      </c>
      <c r="AH7" s="11" t="s">
        <v>11</v>
      </c>
      <c r="AI7" s="16" t="s">
        <v>14</v>
      </c>
      <c r="AJ7" s="11" t="s">
        <v>15</v>
      </c>
      <c r="AK7" s="11" t="s">
        <v>11</v>
      </c>
      <c r="AL7" s="11" t="s">
        <v>12</v>
      </c>
      <c r="AM7" s="11" t="s">
        <v>13</v>
      </c>
      <c r="AN7" s="9"/>
      <c r="AO7" s="11" t="s">
        <v>9</v>
      </c>
      <c r="AP7" s="11" t="s">
        <v>10</v>
      </c>
      <c r="AQ7" s="11" t="s">
        <v>11</v>
      </c>
      <c r="AR7" s="16" t="s">
        <v>14</v>
      </c>
      <c r="AS7" s="11" t="s">
        <v>15</v>
      </c>
      <c r="AT7" s="11" t="s">
        <v>11</v>
      </c>
      <c r="AU7" s="11" t="s">
        <v>12</v>
      </c>
      <c r="AV7" s="11" t="s">
        <v>13</v>
      </c>
    </row>
    <row r="8" spans="2:48" x14ac:dyDescent="0.25">
      <c r="B8" s="7">
        <f t="shared" ref="B8:B22" si="0">RANK(C8,C$8:C$22,0)</f>
        <v>1</v>
      </c>
      <c r="C8" s="7">
        <f t="shared" ref="C8:C22" si="1">SUMIF($I$1:$AV$1,1,$I8:$AV8)</f>
        <v>480</v>
      </c>
      <c r="D8" s="7">
        <f>VLOOKUP(B8,'Место-баллы'!$A$3:$E$52,5,0)</f>
        <v>50</v>
      </c>
      <c r="E8" s="10"/>
      <c r="F8" s="17" t="s">
        <v>118</v>
      </c>
      <c r="G8" s="10" t="s">
        <v>77</v>
      </c>
      <c r="H8" s="15"/>
      <c r="I8" s="10"/>
      <c r="J8" s="7">
        <v>5</v>
      </c>
      <c r="K8" s="7">
        <v>58</v>
      </c>
      <c r="L8" s="13">
        <f t="shared" ref="L8:L22" si="2">TIME(0,J8,K8)</f>
        <v>4.1435185185185186E-3</v>
      </c>
      <c r="M8" s="7">
        <v>120</v>
      </c>
      <c r="N8" s="7">
        <f t="shared" ref="N8:N22" si="3">M$2-M8</f>
        <v>0</v>
      </c>
      <c r="O8" s="13">
        <f t="shared" ref="O8:O22" si="4">L8+TIME(0,0,N8)</f>
        <v>4.1435185185185186E-3</v>
      </c>
      <c r="P8" s="7">
        <f t="shared" ref="P8:P22" si="5">RANK(O8,O$8:O$22,1)</f>
        <v>2</v>
      </c>
      <c r="Q8" s="7">
        <f>VLOOKUP(P8,'Место-баллы'!$A$3:$E$52,2,0)</f>
        <v>95</v>
      </c>
      <c r="R8" s="10"/>
      <c r="S8" s="7">
        <f>115+140</f>
        <v>255</v>
      </c>
      <c r="T8" s="7">
        <f t="shared" ref="T8:T22" si="6">RANK(S8,S$8:S$22,0)</f>
        <v>1</v>
      </c>
      <c r="U8" s="7">
        <f>VLOOKUP(T8,'Место-баллы'!$A$3:$E$52,2,0)</f>
        <v>100</v>
      </c>
      <c r="V8" s="10"/>
      <c r="W8" s="7">
        <v>12</v>
      </c>
      <c r="X8" s="7">
        <v>40</v>
      </c>
      <c r="Y8" s="13">
        <f t="shared" ref="Y8:Y22" si="7">TIME(0,W8,X8)</f>
        <v>8.7962962962962968E-3</v>
      </c>
      <c r="Z8" s="7">
        <v>240</v>
      </c>
      <c r="AA8" s="7">
        <f t="shared" ref="AA8:AA22" si="8">Z$2-Z8</f>
        <v>0</v>
      </c>
      <c r="AB8" s="13">
        <f t="shared" ref="AB8:AB22" si="9">Y8+TIME(0,0,AA8)</f>
        <v>8.7962962962962968E-3</v>
      </c>
      <c r="AC8" s="7">
        <f t="shared" ref="AC8:AC22" si="10">RANK(AB8,AB$8:AB$22,1)</f>
        <v>2</v>
      </c>
      <c r="AD8" s="7">
        <f>VLOOKUP(AC8,'Место-баллы'!$A$3:$E$52,2,0)</f>
        <v>95</v>
      </c>
      <c r="AE8" s="10"/>
      <c r="AF8" s="7">
        <v>4</v>
      </c>
      <c r="AG8" s="7">
        <v>5</v>
      </c>
      <c r="AH8" s="13">
        <f t="shared" ref="AH8:AH15" si="11">TIME(0,AF8,AG8)</f>
        <v>2.8356481481481483E-3</v>
      </c>
      <c r="AI8" s="7">
        <f>45+25</f>
        <v>70</v>
      </c>
      <c r="AJ8" s="7">
        <f t="shared" ref="AJ8:AJ15" si="12">AI$2-AI8</f>
        <v>30</v>
      </c>
      <c r="AK8" s="13">
        <f t="shared" ref="AK8:AK15" si="13">AH8+TIME(0,0,AJ8)</f>
        <v>3.1828703703703706E-3</v>
      </c>
      <c r="AL8" s="7">
        <f t="shared" ref="AL8:AL15" si="14">RANK(AK8,AK$8:AK$22,1)</f>
        <v>2</v>
      </c>
      <c r="AM8" s="7">
        <f>VLOOKUP(AL8,'Место-баллы'!$A$3:$E$52,2,0)</f>
        <v>95</v>
      </c>
      <c r="AN8" s="10"/>
      <c r="AO8" s="7">
        <v>4</v>
      </c>
      <c r="AP8" s="7">
        <v>5</v>
      </c>
      <c r="AQ8" s="13">
        <f t="shared" ref="AQ8:AQ15" si="15">TIME(0,AO8,AP8)</f>
        <v>2.8356481481481483E-3</v>
      </c>
      <c r="AR8" s="7">
        <f>42+41</f>
        <v>83</v>
      </c>
      <c r="AS8" s="7">
        <f t="shared" ref="AS8:AS15" si="16">AR$2-AR8</f>
        <v>17</v>
      </c>
      <c r="AT8" s="13">
        <f t="shared" ref="AT8:AT15" si="17">AQ8+TIME(0,0,AS8)</f>
        <v>3.0324074074074077E-3</v>
      </c>
      <c r="AU8" s="7">
        <f t="shared" ref="AU8:AU15" si="18">RANK(AT8,AT$8:AT$22,1)</f>
        <v>2</v>
      </c>
      <c r="AV8" s="7">
        <f>VLOOKUP(AU8,'Место-баллы'!$A$3:$E$52,2,0)</f>
        <v>95</v>
      </c>
    </row>
    <row r="9" spans="2:48" x14ac:dyDescent="0.25">
      <c r="B9" s="7">
        <f t="shared" si="0"/>
        <v>2</v>
      </c>
      <c r="C9" s="7">
        <f t="shared" si="1"/>
        <v>457</v>
      </c>
      <c r="D9" s="7">
        <f>VLOOKUP(B9,'Место-баллы'!$A$3:$E$52,5,0)</f>
        <v>48</v>
      </c>
      <c r="E9" s="10"/>
      <c r="F9" s="10" t="s">
        <v>103</v>
      </c>
      <c r="G9" s="10" t="s">
        <v>49</v>
      </c>
      <c r="H9" s="15"/>
      <c r="I9" s="10"/>
      <c r="J9" s="7">
        <v>6</v>
      </c>
      <c r="K9" s="7">
        <v>21</v>
      </c>
      <c r="L9" s="13">
        <f t="shared" si="2"/>
        <v>4.409722222222222E-3</v>
      </c>
      <c r="M9" s="7">
        <v>120</v>
      </c>
      <c r="N9" s="7">
        <f t="shared" si="3"/>
        <v>0</v>
      </c>
      <c r="O9" s="13">
        <f t="shared" si="4"/>
        <v>4.409722222222222E-3</v>
      </c>
      <c r="P9" s="7">
        <f t="shared" si="5"/>
        <v>3</v>
      </c>
      <c r="Q9" s="7">
        <f>VLOOKUP(P9,'Место-баллы'!$A$3:$E$52,2,0)</f>
        <v>90</v>
      </c>
      <c r="R9" s="10"/>
      <c r="S9" s="7">
        <f>100+100</f>
        <v>200</v>
      </c>
      <c r="T9" s="7">
        <f t="shared" si="6"/>
        <v>10</v>
      </c>
      <c r="U9" s="7">
        <f>VLOOKUP(T9,'Место-баллы'!$A$3:$E$52,2,0)</f>
        <v>67</v>
      </c>
      <c r="V9" s="10"/>
      <c r="W9" s="7">
        <v>12</v>
      </c>
      <c r="X9" s="7">
        <v>21</v>
      </c>
      <c r="Y9" s="13">
        <f t="shared" si="7"/>
        <v>8.5763888888888886E-3</v>
      </c>
      <c r="Z9" s="7">
        <v>240</v>
      </c>
      <c r="AA9" s="7">
        <f t="shared" si="8"/>
        <v>0</v>
      </c>
      <c r="AB9" s="13">
        <f t="shared" si="9"/>
        <v>8.5763888888888886E-3</v>
      </c>
      <c r="AC9" s="7">
        <f t="shared" si="10"/>
        <v>1</v>
      </c>
      <c r="AD9" s="7">
        <f>VLOOKUP(AC9,'Место-баллы'!$A$3:$E$52,2,0)</f>
        <v>100</v>
      </c>
      <c r="AE9" s="10"/>
      <c r="AF9" s="7">
        <v>4</v>
      </c>
      <c r="AG9" s="7">
        <v>5</v>
      </c>
      <c r="AH9" s="13">
        <f t="shared" si="11"/>
        <v>2.8356481481481483E-3</v>
      </c>
      <c r="AI9" s="7">
        <v>71</v>
      </c>
      <c r="AJ9" s="7">
        <f t="shared" si="12"/>
        <v>29</v>
      </c>
      <c r="AK9" s="13">
        <f t="shared" si="13"/>
        <v>3.1712962962962966E-3</v>
      </c>
      <c r="AL9" s="7">
        <f t="shared" si="14"/>
        <v>1</v>
      </c>
      <c r="AM9" s="7">
        <f>VLOOKUP(AL9,'Место-баллы'!$A$3:$E$52,2,0)</f>
        <v>100</v>
      </c>
      <c r="AN9" s="10"/>
      <c r="AO9" s="7">
        <v>4</v>
      </c>
      <c r="AP9" s="7">
        <v>5</v>
      </c>
      <c r="AQ9" s="13">
        <f t="shared" si="15"/>
        <v>2.8356481481481483E-3</v>
      </c>
      <c r="AR9" s="7">
        <v>89</v>
      </c>
      <c r="AS9" s="7">
        <f t="shared" si="16"/>
        <v>11</v>
      </c>
      <c r="AT9" s="13">
        <f t="shared" si="17"/>
        <v>2.9629629629629632E-3</v>
      </c>
      <c r="AU9" s="7">
        <f t="shared" si="18"/>
        <v>1</v>
      </c>
      <c r="AV9" s="7">
        <f>VLOOKUP(AU9,'Место-баллы'!$A$3:$E$52,2,0)</f>
        <v>100</v>
      </c>
    </row>
    <row r="10" spans="2:48" x14ac:dyDescent="0.25">
      <c r="B10" s="7">
        <f t="shared" si="0"/>
        <v>3</v>
      </c>
      <c r="C10" s="7">
        <f t="shared" si="1"/>
        <v>423</v>
      </c>
      <c r="D10" s="7">
        <f>VLOOKUP(B10,'Место-баллы'!$A$3:$E$52,5,0)</f>
        <v>46</v>
      </c>
      <c r="E10" s="10"/>
      <c r="F10" s="10" t="s">
        <v>117</v>
      </c>
      <c r="G10" s="10" t="s">
        <v>59</v>
      </c>
      <c r="H10" s="15"/>
      <c r="I10" s="10"/>
      <c r="J10" s="7">
        <v>5</v>
      </c>
      <c r="K10" s="7">
        <v>50</v>
      </c>
      <c r="L10" s="13">
        <f t="shared" si="2"/>
        <v>4.0509259259259257E-3</v>
      </c>
      <c r="M10" s="7">
        <v>120</v>
      </c>
      <c r="N10" s="7">
        <f t="shared" si="3"/>
        <v>0</v>
      </c>
      <c r="O10" s="13">
        <f t="shared" si="4"/>
        <v>4.0509259259259257E-3</v>
      </c>
      <c r="P10" s="7">
        <f t="shared" si="5"/>
        <v>1</v>
      </c>
      <c r="Q10" s="7">
        <f>VLOOKUP(P10,'Место-баллы'!$A$3:$E$52,2,0)</f>
        <v>100</v>
      </c>
      <c r="R10" s="10"/>
      <c r="S10" s="7">
        <f>125+115</f>
        <v>240</v>
      </c>
      <c r="T10" s="7">
        <f t="shared" si="6"/>
        <v>3</v>
      </c>
      <c r="U10" s="7">
        <f>VLOOKUP(T10,'Место-баллы'!$A$3:$E$52,2,0)</f>
        <v>90</v>
      </c>
      <c r="V10" s="10"/>
      <c r="W10" s="7">
        <v>16</v>
      </c>
      <c r="X10" s="7">
        <v>5</v>
      </c>
      <c r="Y10" s="13">
        <f t="shared" si="7"/>
        <v>1.1168981481481481E-2</v>
      </c>
      <c r="Z10" s="7">
        <v>240</v>
      </c>
      <c r="AA10" s="7">
        <f t="shared" si="8"/>
        <v>0</v>
      </c>
      <c r="AB10" s="13">
        <f t="shared" si="9"/>
        <v>1.1168981481481481E-2</v>
      </c>
      <c r="AC10" s="7">
        <f t="shared" si="10"/>
        <v>7</v>
      </c>
      <c r="AD10" s="7">
        <f>VLOOKUP(AC10,'Место-баллы'!$A$3:$E$52,2,0)</f>
        <v>73</v>
      </c>
      <c r="AE10" s="10"/>
      <c r="AF10" s="7">
        <v>4</v>
      </c>
      <c r="AG10" s="7">
        <v>5</v>
      </c>
      <c r="AH10" s="13">
        <f t="shared" si="11"/>
        <v>2.8356481481481483E-3</v>
      </c>
      <c r="AI10" s="7">
        <v>58</v>
      </c>
      <c r="AJ10" s="7">
        <f t="shared" si="12"/>
        <v>42</v>
      </c>
      <c r="AK10" s="13">
        <f t="shared" si="13"/>
        <v>3.3217592592592595E-3</v>
      </c>
      <c r="AL10" s="7">
        <f t="shared" si="14"/>
        <v>5</v>
      </c>
      <c r="AM10" s="7">
        <f>VLOOKUP(AL10,'Место-баллы'!$A$3:$E$52,2,0)</f>
        <v>80</v>
      </c>
      <c r="AN10" s="10"/>
      <c r="AO10" s="7">
        <v>4</v>
      </c>
      <c r="AP10" s="7">
        <v>5</v>
      </c>
      <c r="AQ10" s="13">
        <f t="shared" si="15"/>
        <v>2.8356481481481483E-3</v>
      </c>
      <c r="AR10" s="7">
        <f>28+41</f>
        <v>69</v>
      </c>
      <c r="AS10" s="7">
        <f t="shared" si="16"/>
        <v>31</v>
      </c>
      <c r="AT10" s="13">
        <f t="shared" si="17"/>
        <v>3.1944444444444446E-3</v>
      </c>
      <c r="AU10" s="7">
        <f t="shared" si="18"/>
        <v>5</v>
      </c>
      <c r="AV10" s="7">
        <f>VLOOKUP(AU10,'Место-баллы'!$A$3:$E$52,2,0)</f>
        <v>80</v>
      </c>
    </row>
    <row r="11" spans="2:48" x14ac:dyDescent="0.25">
      <c r="B11" s="7">
        <f t="shared" si="0"/>
        <v>4</v>
      </c>
      <c r="C11" s="7">
        <f t="shared" si="1"/>
        <v>408</v>
      </c>
      <c r="D11" s="7">
        <f>VLOOKUP(B11,'Место-баллы'!$A$3:$E$52,5,0)</f>
        <v>44</v>
      </c>
      <c r="E11" s="10"/>
      <c r="F11" s="10" t="s">
        <v>111</v>
      </c>
      <c r="G11" s="10" t="s">
        <v>49</v>
      </c>
      <c r="H11" s="15"/>
      <c r="I11" s="10"/>
      <c r="J11" s="7">
        <v>6</v>
      </c>
      <c r="K11" s="7">
        <v>23</v>
      </c>
      <c r="L11" s="13">
        <f t="shared" si="2"/>
        <v>4.43287037037037E-3</v>
      </c>
      <c r="M11" s="7">
        <v>120</v>
      </c>
      <c r="N11" s="7">
        <f t="shared" si="3"/>
        <v>0</v>
      </c>
      <c r="O11" s="13">
        <f t="shared" si="4"/>
        <v>4.43287037037037E-3</v>
      </c>
      <c r="P11" s="7">
        <f t="shared" si="5"/>
        <v>4</v>
      </c>
      <c r="Q11" s="7">
        <f>VLOOKUP(P11,'Место-баллы'!$A$3:$E$52,2,0)</f>
        <v>85</v>
      </c>
      <c r="R11" s="10"/>
      <c r="S11" s="7">
        <f>118+123</f>
        <v>241</v>
      </c>
      <c r="T11" s="7">
        <f t="shared" si="6"/>
        <v>2</v>
      </c>
      <c r="U11" s="7">
        <f>VLOOKUP(T11,'Место-баллы'!$A$3:$E$52,2,0)</f>
        <v>95</v>
      </c>
      <c r="V11" s="10"/>
      <c r="W11" s="7">
        <v>16</v>
      </c>
      <c r="X11" s="7">
        <v>5</v>
      </c>
      <c r="Y11" s="13">
        <f t="shared" si="7"/>
        <v>1.1168981481481481E-2</v>
      </c>
      <c r="Z11" s="7">
        <v>234</v>
      </c>
      <c r="AA11" s="7">
        <f t="shared" si="8"/>
        <v>6</v>
      </c>
      <c r="AB11" s="13">
        <f t="shared" si="9"/>
        <v>1.1238425925925926E-2</v>
      </c>
      <c r="AC11" s="7">
        <f t="shared" si="10"/>
        <v>11</v>
      </c>
      <c r="AD11" s="7">
        <f>VLOOKUP(AC11,'Место-баллы'!$A$3:$E$52,2,0)</f>
        <v>65</v>
      </c>
      <c r="AE11" s="10"/>
      <c r="AF11" s="7">
        <v>4</v>
      </c>
      <c r="AG11" s="7">
        <v>5</v>
      </c>
      <c r="AH11" s="13">
        <f t="shared" si="11"/>
        <v>2.8356481481481483E-3</v>
      </c>
      <c r="AI11" s="7">
        <v>67</v>
      </c>
      <c r="AJ11" s="7">
        <f t="shared" si="12"/>
        <v>33</v>
      </c>
      <c r="AK11" s="13">
        <f t="shared" si="13"/>
        <v>3.2175925925925926E-3</v>
      </c>
      <c r="AL11" s="7">
        <f t="shared" si="14"/>
        <v>3</v>
      </c>
      <c r="AM11" s="7">
        <f>VLOOKUP(AL11,'Место-баллы'!$A$3:$E$52,2,0)</f>
        <v>90</v>
      </c>
      <c r="AN11" s="10"/>
      <c r="AO11" s="7">
        <v>4</v>
      </c>
      <c r="AP11" s="7">
        <v>5</v>
      </c>
      <c r="AQ11" s="13">
        <f t="shared" si="15"/>
        <v>2.8356481481481483E-3</v>
      </c>
      <c r="AR11" s="7">
        <v>66</v>
      </c>
      <c r="AS11" s="7">
        <f t="shared" si="16"/>
        <v>34</v>
      </c>
      <c r="AT11" s="13">
        <f t="shared" si="17"/>
        <v>3.2291666666666666E-3</v>
      </c>
      <c r="AU11" s="7">
        <f t="shared" si="18"/>
        <v>7</v>
      </c>
      <c r="AV11" s="7">
        <f>VLOOKUP(AU11,'Место-баллы'!$A$3:$E$52,2,0)</f>
        <v>73</v>
      </c>
    </row>
    <row r="12" spans="2:48" x14ac:dyDescent="0.25">
      <c r="B12" s="7">
        <f t="shared" si="0"/>
        <v>5</v>
      </c>
      <c r="C12" s="7">
        <f t="shared" si="1"/>
        <v>392</v>
      </c>
      <c r="D12" s="7">
        <f>VLOOKUP(B12,'Место-баллы'!$A$3:$E$52,5,0)</f>
        <v>42</v>
      </c>
      <c r="E12" s="10"/>
      <c r="F12" s="10" t="s">
        <v>106</v>
      </c>
      <c r="G12" s="10" t="s">
        <v>107</v>
      </c>
      <c r="H12" s="15"/>
      <c r="I12" s="10"/>
      <c r="J12" s="7">
        <v>7</v>
      </c>
      <c r="K12" s="7">
        <v>20</v>
      </c>
      <c r="L12" s="13">
        <f t="shared" si="2"/>
        <v>5.092592592592593E-3</v>
      </c>
      <c r="M12" s="7">
        <v>120</v>
      </c>
      <c r="N12" s="7">
        <f t="shared" si="3"/>
        <v>0</v>
      </c>
      <c r="O12" s="13">
        <f t="shared" si="4"/>
        <v>5.092592592592593E-3</v>
      </c>
      <c r="P12" s="7">
        <f t="shared" si="5"/>
        <v>7</v>
      </c>
      <c r="Q12" s="7">
        <f>VLOOKUP(P12,'Место-баллы'!$A$3:$E$52,2,0)</f>
        <v>73</v>
      </c>
      <c r="R12" s="10"/>
      <c r="S12" s="7">
        <f>126+0</f>
        <v>126</v>
      </c>
      <c r="T12" s="7">
        <f t="shared" si="6"/>
        <v>14</v>
      </c>
      <c r="U12" s="7">
        <f>VLOOKUP(T12,'Место-баллы'!$A$3:$E$52,2,0)</f>
        <v>59</v>
      </c>
      <c r="V12" s="10"/>
      <c r="W12" s="7">
        <v>14</v>
      </c>
      <c r="X12" s="7">
        <v>49</v>
      </c>
      <c r="Y12" s="13">
        <f t="shared" si="7"/>
        <v>1.0289351851851852E-2</v>
      </c>
      <c r="Z12" s="7">
        <v>240</v>
      </c>
      <c r="AA12" s="7">
        <f t="shared" si="8"/>
        <v>0</v>
      </c>
      <c r="AB12" s="13">
        <f t="shared" si="9"/>
        <v>1.0289351851851852E-2</v>
      </c>
      <c r="AC12" s="7">
        <f t="shared" si="10"/>
        <v>3</v>
      </c>
      <c r="AD12" s="7">
        <f>VLOOKUP(AC12,'Место-баллы'!$A$3:$E$52,2,0)</f>
        <v>90</v>
      </c>
      <c r="AE12" s="10"/>
      <c r="AF12" s="7">
        <v>4</v>
      </c>
      <c r="AG12" s="7">
        <v>5</v>
      </c>
      <c r="AH12" s="13">
        <f t="shared" si="11"/>
        <v>2.8356481481481483E-3</v>
      </c>
      <c r="AI12" s="7">
        <f>33+27</f>
        <v>60</v>
      </c>
      <c r="AJ12" s="7">
        <f t="shared" si="12"/>
        <v>40</v>
      </c>
      <c r="AK12" s="13">
        <f t="shared" si="13"/>
        <v>3.2986111111111115E-3</v>
      </c>
      <c r="AL12" s="7">
        <f t="shared" si="14"/>
        <v>4</v>
      </c>
      <c r="AM12" s="7">
        <f>VLOOKUP(AL12,'Место-баллы'!$A$3:$E$52,2,0)</f>
        <v>85</v>
      </c>
      <c r="AN12" s="10"/>
      <c r="AO12" s="7">
        <v>4</v>
      </c>
      <c r="AP12" s="7">
        <v>5</v>
      </c>
      <c r="AQ12" s="13">
        <f t="shared" si="15"/>
        <v>2.8356481481481483E-3</v>
      </c>
      <c r="AR12" s="7">
        <f>31+41</f>
        <v>72</v>
      </c>
      <c r="AS12" s="7">
        <f t="shared" si="16"/>
        <v>28</v>
      </c>
      <c r="AT12" s="13">
        <f t="shared" si="17"/>
        <v>3.1597222222222226E-3</v>
      </c>
      <c r="AU12" s="7">
        <f t="shared" si="18"/>
        <v>4</v>
      </c>
      <c r="AV12" s="7">
        <f>VLOOKUP(AU12,'Место-баллы'!$A$3:$E$52,2,0)</f>
        <v>85</v>
      </c>
    </row>
    <row r="13" spans="2:48" x14ac:dyDescent="0.25">
      <c r="B13" s="7">
        <f t="shared" si="0"/>
        <v>6</v>
      </c>
      <c r="C13" s="7">
        <f t="shared" si="1"/>
        <v>391</v>
      </c>
      <c r="D13" s="7">
        <f>VLOOKUP(B13,'Место-баллы'!$A$3:$E$52,5,0)</f>
        <v>41</v>
      </c>
      <c r="E13" s="10"/>
      <c r="F13" s="10" t="s">
        <v>115</v>
      </c>
      <c r="G13" s="10" t="s">
        <v>116</v>
      </c>
      <c r="H13" s="15"/>
      <c r="I13" s="10"/>
      <c r="J13" s="7">
        <v>6</v>
      </c>
      <c r="K13" s="7">
        <v>55</v>
      </c>
      <c r="L13" s="13">
        <f t="shared" si="2"/>
        <v>4.8032407407407407E-3</v>
      </c>
      <c r="M13" s="7">
        <v>120</v>
      </c>
      <c r="N13" s="7">
        <f t="shared" si="3"/>
        <v>0</v>
      </c>
      <c r="O13" s="13">
        <f t="shared" si="4"/>
        <v>4.8032407407407407E-3</v>
      </c>
      <c r="P13" s="7">
        <f t="shared" si="5"/>
        <v>5</v>
      </c>
      <c r="Q13" s="7">
        <f>VLOOKUP(P13,'Место-баллы'!$A$3:$E$52,2,0)</f>
        <v>80</v>
      </c>
      <c r="R13" s="10"/>
      <c r="S13" s="7">
        <f>105+115</f>
        <v>220</v>
      </c>
      <c r="T13" s="7">
        <f t="shared" si="6"/>
        <v>7</v>
      </c>
      <c r="U13" s="7">
        <f>VLOOKUP(T13,'Место-баллы'!$A$3:$E$52,2,0)</f>
        <v>73</v>
      </c>
      <c r="V13" s="10"/>
      <c r="W13" s="7">
        <v>15</v>
      </c>
      <c r="X13" s="7">
        <v>21</v>
      </c>
      <c r="Y13" s="13">
        <f t="shared" si="7"/>
        <v>1.0659722222222221E-2</v>
      </c>
      <c r="Z13" s="7">
        <v>240</v>
      </c>
      <c r="AA13" s="7">
        <f t="shared" si="8"/>
        <v>0</v>
      </c>
      <c r="AB13" s="13">
        <f t="shared" si="9"/>
        <v>1.0659722222222221E-2</v>
      </c>
      <c r="AC13" s="7">
        <f t="shared" si="10"/>
        <v>6</v>
      </c>
      <c r="AD13" s="7">
        <f>VLOOKUP(AC13,'Место-баллы'!$A$3:$E$52,2,0)</f>
        <v>75</v>
      </c>
      <c r="AE13" s="10"/>
      <c r="AF13" s="7">
        <v>4</v>
      </c>
      <c r="AG13" s="7">
        <v>5</v>
      </c>
      <c r="AH13" s="13">
        <f t="shared" si="11"/>
        <v>2.8356481481481483E-3</v>
      </c>
      <c r="AI13" s="7">
        <v>53</v>
      </c>
      <c r="AJ13" s="7">
        <f t="shared" si="12"/>
        <v>47</v>
      </c>
      <c r="AK13" s="13">
        <f t="shared" si="13"/>
        <v>3.37962962962963E-3</v>
      </c>
      <c r="AL13" s="7">
        <f t="shared" si="14"/>
        <v>7</v>
      </c>
      <c r="AM13" s="7">
        <f>VLOOKUP(AL13,'Место-баллы'!$A$3:$E$52,2,0)</f>
        <v>73</v>
      </c>
      <c r="AN13" s="10"/>
      <c r="AO13" s="7">
        <v>4</v>
      </c>
      <c r="AP13" s="7">
        <v>5</v>
      </c>
      <c r="AQ13" s="13">
        <f t="shared" si="15"/>
        <v>2.8356481481481483E-3</v>
      </c>
      <c r="AR13" s="7">
        <v>78</v>
      </c>
      <c r="AS13" s="7">
        <f t="shared" si="16"/>
        <v>22</v>
      </c>
      <c r="AT13" s="13">
        <f t="shared" si="17"/>
        <v>3.0902777777777777E-3</v>
      </c>
      <c r="AU13" s="7">
        <f t="shared" si="18"/>
        <v>3</v>
      </c>
      <c r="AV13" s="7">
        <f>VLOOKUP(AU13,'Место-баллы'!$A$3:$E$52,2,0)</f>
        <v>90</v>
      </c>
    </row>
    <row r="14" spans="2:48" x14ac:dyDescent="0.25">
      <c r="B14" s="7">
        <f t="shared" si="0"/>
        <v>7</v>
      </c>
      <c r="C14" s="7">
        <f t="shared" si="1"/>
        <v>371</v>
      </c>
      <c r="D14" s="7">
        <f>VLOOKUP(B14,'Место-баллы'!$A$3:$E$52,5,0)</f>
        <v>40</v>
      </c>
      <c r="E14" s="10"/>
      <c r="F14" s="10" t="s">
        <v>109</v>
      </c>
      <c r="G14" s="10" t="s">
        <v>110</v>
      </c>
      <c r="H14" s="15"/>
      <c r="I14" s="10"/>
      <c r="J14" s="7">
        <v>7</v>
      </c>
      <c r="K14" s="7">
        <v>1</v>
      </c>
      <c r="L14" s="13">
        <f t="shared" si="2"/>
        <v>4.8726851851851848E-3</v>
      </c>
      <c r="M14" s="7">
        <v>120</v>
      </c>
      <c r="N14" s="7">
        <f t="shared" si="3"/>
        <v>0</v>
      </c>
      <c r="O14" s="13">
        <f t="shared" si="4"/>
        <v>4.8726851851851848E-3</v>
      </c>
      <c r="P14" s="7">
        <f t="shared" si="5"/>
        <v>6</v>
      </c>
      <c r="Q14" s="7">
        <f>VLOOKUP(P14,'Место-баллы'!$A$3:$E$52,2,0)</f>
        <v>75</v>
      </c>
      <c r="R14" s="10"/>
      <c r="S14" s="7">
        <f>120+105</f>
        <v>225</v>
      </c>
      <c r="T14" s="7">
        <f t="shared" si="6"/>
        <v>6</v>
      </c>
      <c r="U14" s="7">
        <f>VLOOKUP(T14,'Место-баллы'!$A$3:$E$52,2,0)</f>
        <v>75</v>
      </c>
      <c r="V14" s="10"/>
      <c r="W14" s="7">
        <v>16</v>
      </c>
      <c r="X14" s="7">
        <v>5</v>
      </c>
      <c r="Y14" s="13">
        <f t="shared" si="7"/>
        <v>1.1168981481481481E-2</v>
      </c>
      <c r="Z14" s="7">
        <v>238</v>
      </c>
      <c r="AA14" s="7">
        <f t="shared" si="8"/>
        <v>2</v>
      </c>
      <c r="AB14" s="13">
        <f t="shared" si="9"/>
        <v>1.119212962962963E-2</v>
      </c>
      <c r="AC14" s="7">
        <f t="shared" si="10"/>
        <v>8</v>
      </c>
      <c r="AD14" s="7">
        <f>VLOOKUP(AC14,'Место-баллы'!$A$3:$E$52,2,0)</f>
        <v>71</v>
      </c>
      <c r="AE14" s="10"/>
      <c r="AF14" s="7">
        <v>4</v>
      </c>
      <c r="AG14" s="7">
        <v>5</v>
      </c>
      <c r="AH14" s="13">
        <f t="shared" si="11"/>
        <v>2.8356481481481483E-3</v>
      </c>
      <c r="AI14" s="7">
        <f>29+25</f>
        <v>54</v>
      </c>
      <c r="AJ14" s="7">
        <f t="shared" si="12"/>
        <v>46</v>
      </c>
      <c r="AK14" s="13">
        <f t="shared" si="13"/>
        <v>3.3680555555555556E-3</v>
      </c>
      <c r="AL14" s="7">
        <f t="shared" si="14"/>
        <v>6</v>
      </c>
      <c r="AM14" s="7">
        <f>VLOOKUP(AL14,'Место-баллы'!$A$3:$E$52,2,0)</f>
        <v>75</v>
      </c>
      <c r="AN14" s="10"/>
      <c r="AO14" s="7">
        <v>4</v>
      </c>
      <c r="AP14" s="7">
        <v>5</v>
      </c>
      <c r="AQ14" s="13">
        <f t="shared" si="15"/>
        <v>2.8356481481481483E-3</v>
      </c>
      <c r="AR14" s="7">
        <v>68</v>
      </c>
      <c r="AS14" s="7">
        <f t="shared" si="16"/>
        <v>32</v>
      </c>
      <c r="AT14" s="13">
        <f t="shared" si="17"/>
        <v>3.2060185185185186E-3</v>
      </c>
      <c r="AU14" s="7">
        <f t="shared" si="18"/>
        <v>6</v>
      </c>
      <c r="AV14" s="7">
        <f>VLOOKUP(AU14,'Место-баллы'!$A$3:$E$52,2,0)</f>
        <v>75</v>
      </c>
    </row>
    <row r="15" spans="2:48" x14ac:dyDescent="0.25">
      <c r="B15" s="7">
        <f t="shared" si="0"/>
        <v>8</v>
      </c>
      <c r="C15" s="7">
        <f t="shared" si="1"/>
        <v>362</v>
      </c>
      <c r="D15" s="7">
        <f>VLOOKUP(B15,'Место-баллы'!$A$3:$E$52,5,0)</f>
        <v>39</v>
      </c>
      <c r="E15" s="10"/>
      <c r="F15" s="10" t="s">
        <v>104</v>
      </c>
      <c r="G15" s="10" t="s">
        <v>49</v>
      </c>
      <c r="H15" s="15"/>
      <c r="I15" s="10"/>
      <c r="J15" s="7">
        <v>7</v>
      </c>
      <c r="K15" s="7">
        <v>58</v>
      </c>
      <c r="L15" s="13">
        <f t="shared" si="2"/>
        <v>5.5324074074074078E-3</v>
      </c>
      <c r="M15" s="7">
        <v>120</v>
      </c>
      <c r="N15" s="7">
        <f t="shared" si="3"/>
        <v>0</v>
      </c>
      <c r="O15" s="13">
        <f t="shared" si="4"/>
        <v>5.5324074074074078E-3</v>
      </c>
      <c r="P15" s="7">
        <f t="shared" si="5"/>
        <v>10</v>
      </c>
      <c r="Q15" s="7">
        <f>VLOOKUP(P15,'Место-баллы'!$A$3:$E$52,2,0)</f>
        <v>67</v>
      </c>
      <c r="R15" s="10"/>
      <c r="S15" s="7">
        <f>90+116</f>
        <v>206</v>
      </c>
      <c r="T15" s="7">
        <f t="shared" si="6"/>
        <v>8</v>
      </c>
      <c r="U15" s="7">
        <f>VLOOKUP(T15,'Место-баллы'!$A$3:$E$52,2,0)</f>
        <v>71</v>
      </c>
      <c r="V15" s="10"/>
      <c r="W15" s="7">
        <v>15</v>
      </c>
      <c r="X15" s="7">
        <v>13</v>
      </c>
      <c r="Y15" s="13">
        <f t="shared" si="7"/>
        <v>1.0567129629629629E-2</v>
      </c>
      <c r="Z15" s="7">
        <v>240</v>
      </c>
      <c r="AA15" s="7">
        <f t="shared" si="8"/>
        <v>0</v>
      </c>
      <c r="AB15" s="13">
        <f t="shared" si="9"/>
        <v>1.0567129629629629E-2</v>
      </c>
      <c r="AC15" s="7">
        <f t="shared" si="10"/>
        <v>5</v>
      </c>
      <c r="AD15" s="7">
        <f>VLOOKUP(AC15,'Место-баллы'!$A$3:$E$52,2,0)</f>
        <v>80</v>
      </c>
      <c r="AE15" s="10"/>
      <c r="AF15" s="7">
        <v>4</v>
      </c>
      <c r="AG15" s="7">
        <v>5</v>
      </c>
      <c r="AH15" s="13">
        <f t="shared" si="11"/>
        <v>2.8356481481481483E-3</v>
      </c>
      <c r="AI15" s="7">
        <f>28+22</f>
        <v>50</v>
      </c>
      <c r="AJ15" s="7">
        <f t="shared" si="12"/>
        <v>50</v>
      </c>
      <c r="AK15" s="13">
        <f t="shared" si="13"/>
        <v>3.414351851851852E-3</v>
      </c>
      <c r="AL15" s="7">
        <f t="shared" si="14"/>
        <v>8</v>
      </c>
      <c r="AM15" s="7">
        <f>VLOOKUP(AL15,'Место-баллы'!$A$3:$E$52,2,0)</f>
        <v>71</v>
      </c>
      <c r="AN15" s="10"/>
      <c r="AO15" s="7">
        <v>4</v>
      </c>
      <c r="AP15" s="7">
        <v>5</v>
      </c>
      <c r="AQ15" s="13">
        <f t="shared" si="15"/>
        <v>2.8356481481481483E-3</v>
      </c>
      <c r="AR15" s="7">
        <v>66</v>
      </c>
      <c r="AS15" s="7">
        <f t="shared" si="16"/>
        <v>34</v>
      </c>
      <c r="AT15" s="13">
        <f t="shared" si="17"/>
        <v>3.2291666666666666E-3</v>
      </c>
      <c r="AU15" s="7">
        <f t="shared" si="18"/>
        <v>7</v>
      </c>
      <c r="AV15" s="7">
        <f>VLOOKUP(AU15,'Место-баллы'!$A$3:$E$52,2,0)</f>
        <v>73</v>
      </c>
    </row>
    <row r="16" spans="2:48" x14ac:dyDescent="0.25">
      <c r="B16" s="7">
        <f t="shared" si="0"/>
        <v>9</v>
      </c>
      <c r="C16" s="7">
        <f t="shared" si="1"/>
        <v>211</v>
      </c>
      <c r="D16" s="7">
        <f>VLOOKUP(B16,'Место-баллы'!$A$3:$E$52,5,0)</f>
        <v>38</v>
      </c>
      <c r="E16" s="10"/>
      <c r="F16" s="10" t="s">
        <v>108</v>
      </c>
      <c r="G16" s="10" t="s">
        <v>49</v>
      </c>
      <c r="H16" s="15"/>
      <c r="I16" s="10"/>
      <c r="J16" s="7">
        <v>7</v>
      </c>
      <c r="K16" s="7">
        <v>54</v>
      </c>
      <c r="L16" s="13">
        <f t="shared" si="2"/>
        <v>5.4861111111111109E-3</v>
      </c>
      <c r="M16" s="7">
        <v>120</v>
      </c>
      <c r="N16" s="7">
        <f t="shared" si="3"/>
        <v>0</v>
      </c>
      <c r="O16" s="13">
        <f t="shared" si="4"/>
        <v>5.4861111111111109E-3</v>
      </c>
      <c r="P16" s="7">
        <f t="shared" si="5"/>
        <v>9</v>
      </c>
      <c r="Q16" s="7">
        <f>VLOOKUP(P16,'Место-баллы'!$A$3:$E$52,2,0)</f>
        <v>69</v>
      </c>
      <c r="R16" s="10"/>
      <c r="S16" s="7">
        <f>110+0</f>
        <v>110</v>
      </c>
      <c r="T16" s="7">
        <f t="shared" si="6"/>
        <v>15</v>
      </c>
      <c r="U16" s="7">
        <f>VLOOKUP(T16,'Место-баллы'!$A$3:$E$52,2,0)</f>
        <v>57</v>
      </c>
      <c r="V16" s="10"/>
      <c r="W16" s="7">
        <v>15</v>
      </c>
      <c r="X16" s="7">
        <v>0</v>
      </c>
      <c r="Y16" s="13">
        <f t="shared" si="7"/>
        <v>1.0416666666666666E-2</v>
      </c>
      <c r="Z16" s="7">
        <v>240</v>
      </c>
      <c r="AA16" s="7">
        <f t="shared" si="8"/>
        <v>0</v>
      </c>
      <c r="AB16" s="13">
        <f t="shared" si="9"/>
        <v>1.0416666666666666E-2</v>
      </c>
      <c r="AC16" s="7">
        <f t="shared" si="10"/>
        <v>4</v>
      </c>
      <c r="AD16" s="7">
        <f>VLOOKUP(AC16,'Место-баллы'!$A$3:$E$52,2,0)</f>
        <v>85</v>
      </c>
      <c r="AE16" s="10"/>
      <c r="AF16" s="7"/>
      <c r="AG16" s="7"/>
      <c r="AH16" s="13"/>
      <c r="AI16" s="7"/>
      <c r="AJ16" s="7"/>
      <c r="AK16" s="13"/>
      <c r="AL16" s="7"/>
      <c r="AM16" s="7">
        <v>0</v>
      </c>
      <c r="AN16" s="10"/>
      <c r="AO16" s="7"/>
      <c r="AP16" s="7"/>
      <c r="AQ16" s="13"/>
      <c r="AR16" s="7"/>
      <c r="AS16" s="7"/>
      <c r="AT16" s="13"/>
      <c r="AU16" s="7"/>
      <c r="AV16" s="7">
        <v>0</v>
      </c>
    </row>
    <row r="17" spans="2:48" x14ac:dyDescent="0.25">
      <c r="B17" s="7">
        <f t="shared" si="0"/>
        <v>10</v>
      </c>
      <c r="C17" s="7">
        <f t="shared" si="1"/>
        <v>209</v>
      </c>
      <c r="D17" s="7">
        <f>VLOOKUP(B17,'Место-баллы'!$A$3:$E$52,5,0)</f>
        <v>37</v>
      </c>
      <c r="E17" s="10"/>
      <c r="F17" s="10" t="s">
        <v>112</v>
      </c>
      <c r="G17" s="10" t="s">
        <v>59</v>
      </c>
      <c r="H17" s="15"/>
      <c r="I17" s="10"/>
      <c r="J17" s="7">
        <v>7</v>
      </c>
      <c r="K17" s="7">
        <v>59</v>
      </c>
      <c r="L17" s="13">
        <f t="shared" si="2"/>
        <v>5.5439814814814813E-3</v>
      </c>
      <c r="M17" s="7">
        <v>120</v>
      </c>
      <c r="N17" s="7">
        <f t="shared" si="3"/>
        <v>0</v>
      </c>
      <c r="O17" s="13">
        <f t="shared" si="4"/>
        <v>5.5439814814814813E-3</v>
      </c>
      <c r="P17" s="7">
        <f t="shared" si="5"/>
        <v>11</v>
      </c>
      <c r="Q17" s="7">
        <f>VLOOKUP(P17,'Место-баллы'!$A$3:$E$52,2,0)</f>
        <v>65</v>
      </c>
      <c r="R17" s="10"/>
      <c r="S17" s="7">
        <f>130+100</f>
        <v>230</v>
      </c>
      <c r="T17" s="7">
        <f t="shared" si="6"/>
        <v>4</v>
      </c>
      <c r="U17" s="7">
        <f>VLOOKUP(T17,'Место-баллы'!$A$3:$E$52,2,0)</f>
        <v>85</v>
      </c>
      <c r="V17" s="10"/>
      <c r="W17" s="7">
        <v>16</v>
      </c>
      <c r="X17" s="7">
        <v>5</v>
      </c>
      <c r="Y17" s="13">
        <f t="shared" si="7"/>
        <v>1.1168981481481481E-2</v>
      </c>
      <c r="Z17" s="7">
        <v>229</v>
      </c>
      <c r="AA17" s="7">
        <f t="shared" si="8"/>
        <v>11</v>
      </c>
      <c r="AB17" s="13">
        <f t="shared" si="9"/>
        <v>1.1296296296296296E-2</v>
      </c>
      <c r="AC17" s="7">
        <f t="shared" si="10"/>
        <v>14</v>
      </c>
      <c r="AD17" s="7">
        <f>VLOOKUP(AC17,'Место-баллы'!$A$3:$E$52,2,0)</f>
        <v>59</v>
      </c>
      <c r="AE17" s="10"/>
      <c r="AF17" s="7"/>
      <c r="AG17" s="7"/>
      <c r="AH17" s="13"/>
      <c r="AI17" s="7"/>
      <c r="AJ17" s="7"/>
      <c r="AK17" s="13"/>
      <c r="AL17" s="7"/>
      <c r="AM17" s="7">
        <v>0</v>
      </c>
      <c r="AN17" s="10"/>
      <c r="AO17" s="7"/>
      <c r="AP17" s="7"/>
      <c r="AQ17" s="13"/>
      <c r="AR17" s="7"/>
      <c r="AS17" s="7"/>
      <c r="AT17" s="13"/>
      <c r="AU17" s="7"/>
      <c r="AV17" s="7">
        <v>0</v>
      </c>
    </row>
    <row r="18" spans="2:48" x14ac:dyDescent="0.25">
      <c r="B18" s="7">
        <f t="shared" si="0"/>
        <v>11</v>
      </c>
      <c r="C18" s="7">
        <f t="shared" si="1"/>
        <v>207</v>
      </c>
      <c r="D18" s="7">
        <f>VLOOKUP(B18,'Место-баллы'!$A$3:$E$52,5,0)</f>
        <v>36</v>
      </c>
      <c r="E18" s="10"/>
      <c r="F18" s="10" t="s">
        <v>119</v>
      </c>
      <c r="G18" s="10" t="s">
        <v>49</v>
      </c>
      <c r="H18" s="15"/>
      <c r="I18" s="10"/>
      <c r="J18" s="7">
        <v>9</v>
      </c>
      <c r="K18" s="7">
        <v>25</v>
      </c>
      <c r="L18" s="13">
        <f t="shared" si="2"/>
        <v>6.5393518518518517E-3</v>
      </c>
      <c r="M18" s="7">
        <v>120</v>
      </c>
      <c r="N18" s="7">
        <f t="shared" si="3"/>
        <v>0</v>
      </c>
      <c r="O18" s="13">
        <f t="shared" si="4"/>
        <v>6.5393518518518517E-3</v>
      </c>
      <c r="P18" s="7">
        <f t="shared" si="5"/>
        <v>13</v>
      </c>
      <c r="Q18" s="7">
        <f>VLOOKUP(P18,'Место-баллы'!$A$3:$E$52,2,0)</f>
        <v>61</v>
      </c>
      <c r="R18" s="10"/>
      <c r="S18" s="7">
        <f>120+110</f>
        <v>230</v>
      </c>
      <c r="T18" s="7">
        <f t="shared" si="6"/>
        <v>4</v>
      </c>
      <c r="U18" s="7">
        <f>VLOOKUP(T18,'Место-баллы'!$A$3:$E$52,2,0)</f>
        <v>85</v>
      </c>
      <c r="V18" s="10"/>
      <c r="W18" s="7">
        <v>16</v>
      </c>
      <c r="X18" s="7">
        <v>5</v>
      </c>
      <c r="Y18" s="13">
        <f t="shared" si="7"/>
        <v>1.1168981481481481E-2</v>
      </c>
      <c r="Z18" s="7">
        <v>232</v>
      </c>
      <c r="AA18" s="7">
        <f t="shared" si="8"/>
        <v>8</v>
      </c>
      <c r="AB18" s="13">
        <f t="shared" si="9"/>
        <v>1.1261574074074073E-2</v>
      </c>
      <c r="AC18" s="7">
        <f t="shared" si="10"/>
        <v>13</v>
      </c>
      <c r="AD18" s="7">
        <f>VLOOKUP(AC18,'Место-баллы'!$A$3:$E$52,2,0)</f>
        <v>61</v>
      </c>
      <c r="AE18" s="10"/>
      <c r="AF18" s="7"/>
      <c r="AG18" s="7"/>
      <c r="AH18" s="13"/>
      <c r="AI18" s="7"/>
      <c r="AJ18" s="7"/>
      <c r="AK18" s="13"/>
      <c r="AL18" s="7"/>
      <c r="AM18" s="7">
        <v>0</v>
      </c>
      <c r="AN18" s="10"/>
      <c r="AO18" s="7"/>
      <c r="AP18" s="7"/>
      <c r="AQ18" s="13"/>
      <c r="AR18" s="7"/>
      <c r="AS18" s="7"/>
      <c r="AT18" s="13"/>
      <c r="AU18" s="7"/>
      <c r="AV18" s="7">
        <v>0</v>
      </c>
    </row>
    <row r="19" spans="2:48" x14ac:dyDescent="0.25">
      <c r="B19" s="7">
        <f t="shared" si="0"/>
        <v>12</v>
      </c>
      <c r="C19" s="7">
        <f t="shared" si="1"/>
        <v>201</v>
      </c>
      <c r="D19" s="7">
        <f>VLOOKUP(B19,'Место-баллы'!$A$3:$E$52,5,0)</f>
        <v>35</v>
      </c>
      <c r="E19" s="10"/>
      <c r="F19" s="10" t="s">
        <v>120</v>
      </c>
      <c r="G19" s="10" t="s">
        <v>49</v>
      </c>
      <c r="H19" s="15"/>
      <c r="I19" s="10"/>
      <c r="J19" s="7">
        <v>8</v>
      </c>
      <c r="K19" s="7">
        <v>5</v>
      </c>
      <c r="L19" s="13">
        <f t="shared" si="2"/>
        <v>5.6134259259259262E-3</v>
      </c>
      <c r="M19" s="7">
        <v>120</v>
      </c>
      <c r="N19" s="7">
        <f t="shared" si="3"/>
        <v>0</v>
      </c>
      <c r="O19" s="13">
        <f t="shared" si="4"/>
        <v>5.6134259259259262E-3</v>
      </c>
      <c r="P19" s="7">
        <f t="shared" si="5"/>
        <v>12</v>
      </c>
      <c r="Q19" s="7">
        <f>VLOOKUP(P19,'Место-баллы'!$A$3:$E$52,2,0)</f>
        <v>63</v>
      </c>
      <c r="R19" s="10"/>
      <c r="S19" s="7">
        <f>90+110</f>
        <v>200</v>
      </c>
      <c r="T19" s="7">
        <f t="shared" si="6"/>
        <v>10</v>
      </c>
      <c r="U19" s="7">
        <f>VLOOKUP(T19,'Место-баллы'!$A$3:$E$52,2,0)</f>
        <v>67</v>
      </c>
      <c r="V19" s="10"/>
      <c r="W19" s="7">
        <v>16</v>
      </c>
      <c r="X19" s="7">
        <v>5</v>
      </c>
      <c r="Y19" s="13">
        <f t="shared" si="7"/>
        <v>1.1168981481481481E-2</v>
      </c>
      <c r="Z19" s="7">
        <v>238</v>
      </c>
      <c r="AA19" s="7">
        <f t="shared" si="8"/>
        <v>2</v>
      </c>
      <c r="AB19" s="13">
        <f t="shared" si="9"/>
        <v>1.119212962962963E-2</v>
      </c>
      <c r="AC19" s="7">
        <f t="shared" si="10"/>
        <v>8</v>
      </c>
      <c r="AD19" s="7">
        <f>VLOOKUP(AC19,'Место-баллы'!$A$3:$E$52,2,0)</f>
        <v>71</v>
      </c>
      <c r="AE19" s="10"/>
      <c r="AF19" s="7"/>
      <c r="AG19" s="7"/>
      <c r="AH19" s="13"/>
      <c r="AI19" s="7"/>
      <c r="AJ19" s="7"/>
      <c r="AK19" s="13"/>
      <c r="AL19" s="7"/>
      <c r="AM19" s="7">
        <v>0</v>
      </c>
      <c r="AN19" s="10"/>
      <c r="AO19" s="7"/>
      <c r="AP19" s="7"/>
      <c r="AQ19" s="13"/>
      <c r="AR19" s="7"/>
      <c r="AS19" s="7"/>
      <c r="AT19" s="13"/>
      <c r="AU19" s="7"/>
      <c r="AV19" s="7">
        <v>0</v>
      </c>
    </row>
    <row r="20" spans="2:48" x14ac:dyDescent="0.25">
      <c r="B20" s="7">
        <f t="shared" si="0"/>
        <v>13</v>
      </c>
      <c r="C20" s="7">
        <f t="shared" si="1"/>
        <v>199</v>
      </c>
      <c r="D20" s="7">
        <f>VLOOKUP(B20,'Место-баллы'!$A$3:$E$52,5,0)</f>
        <v>34</v>
      </c>
      <c r="E20" s="10"/>
      <c r="F20" s="10" t="s">
        <v>105</v>
      </c>
      <c r="G20" s="10" t="s">
        <v>49</v>
      </c>
      <c r="H20" s="15"/>
      <c r="I20" s="10"/>
      <c r="J20" s="7">
        <v>7</v>
      </c>
      <c r="K20" s="7">
        <v>48</v>
      </c>
      <c r="L20" s="13">
        <f t="shared" si="2"/>
        <v>5.4166666666666669E-3</v>
      </c>
      <c r="M20" s="7">
        <v>120</v>
      </c>
      <c r="N20" s="7">
        <f t="shared" si="3"/>
        <v>0</v>
      </c>
      <c r="O20" s="13">
        <f t="shared" si="4"/>
        <v>5.4166666666666669E-3</v>
      </c>
      <c r="P20" s="7">
        <f t="shared" si="5"/>
        <v>8</v>
      </c>
      <c r="Q20" s="7">
        <f>VLOOKUP(P20,'Место-баллы'!$A$3:$E$52,2,0)</f>
        <v>71</v>
      </c>
      <c r="R20" s="10"/>
      <c r="S20" s="7">
        <f>90+105</f>
        <v>195</v>
      </c>
      <c r="T20" s="7">
        <f t="shared" si="6"/>
        <v>12</v>
      </c>
      <c r="U20" s="7">
        <f>VLOOKUP(T20,'Место-баллы'!$A$3:$E$52,2,0)</f>
        <v>63</v>
      </c>
      <c r="V20" s="10"/>
      <c r="W20" s="7">
        <v>16</v>
      </c>
      <c r="X20" s="7">
        <v>5</v>
      </c>
      <c r="Y20" s="13">
        <f t="shared" si="7"/>
        <v>1.1168981481481481E-2</v>
      </c>
      <c r="Z20" s="7">
        <f>220+14</f>
        <v>234</v>
      </c>
      <c r="AA20" s="7">
        <f t="shared" si="8"/>
        <v>6</v>
      </c>
      <c r="AB20" s="13">
        <f t="shared" si="9"/>
        <v>1.1238425925925926E-2</v>
      </c>
      <c r="AC20" s="7">
        <f t="shared" si="10"/>
        <v>11</v>
      </c>
      <c r="AD20" s="7">
        <f>VLOOKUP(AC20,'Место-баллы'!$A$3:$E$52,2,0)</f>
        <v>65</v>
      </c>
      <c r="AE20" s="10"/>
      <c r="AF20" s="7"/>
      <c r="AG20" s="7"/>
      <c r="AH20" s="13"/>
      <c r="AI20" s="7"/>
      <c r="AJ20" s="7"/>
      <c r="AK20" s="13"/>
      <c r="AL20" s="7"/>
      <c r="AM20" s="7">
        <v>0</v>
      </c>
      <c r="AN20" s="10"/>
      <c r="AO20" s="7"/>
      <c r="AP20" s="7"/>
      <c r="AQ20" s="13"/>
      <c r="AR20" s="7"/>
      <c r="AS20" s="7"/>
      <c r="AT20" s="13"/>
      <c r="AU20" s="7"/>
      <c r="AV20" s="7">
        <v>0</v>
      </c>
    </row>
    <row r="21" spans="2:48" x14ac:dyDescent="0.25">
      <c r="B21" s="7">
        <f t="shared" si="0"/>
        <v>14</v>
      </c>
      <c r="C21" s="7">
        <f t="shared" si="1"/>
        <v>195</v>
      </c>
      <c r="D21" s="7">
        <f>VLOOKUP(B21,'Место-баллы'!$A$3:$E$52,5,0)</f>
        <v>33</v>
      </c>
      <c r="E21" s="10"/>
      <c r="F21" s="10" t="s">
        <v>121</v>
      </c>
      <c r="G21" s="10" t="s">
        <v>122</v>
      </c>
      <c r="H21" s="15"/>
      <c r="I21" s="10"/>
      <c r="J21" s="7">
        <v>9</v>
      </c>
      <c r="K21" s="7">
        <v>37</v>
      </c>
      <c r="L21" s="13">
        <f t="shared" si="2"/>
        <v>6.6782407407407407E-3</v>
      </c>
      <c r="M21" s="7">
        <v>120</v>
      </c>
      <c r="N21" s="7">
        <f t="shared" si="3"/>
        <v>0</v>
      </c>
      <c r="O21" s="13">
        <f t="shared" si="4"/>
        <v>6.6782407407407407E-3</v>
      </c>
      <c r="P21" s="7">
        <f t="shared" si="5"/>
        <v>14</v>
      </c>
      <c r="Q21" s="7">
        <f>VLOOKUP(P21,'Место-баллы'!$A$3:$E$52,2,0)</f>
        <v>59</v>
      </c>
      <c r="R21" s="10"/>
      <c r="S21" s="7">
        <f>100+105</f>
        <v>205</v>
      </c>
      <c r="T21" s="7">
        <f t="shared" si="6"/>
        <v>9</v>
      </c>
      <c r="U21" s="7">
        <f>VLOOKUP(T21,'Место-баллы'!$A$3:$E$52,2,0)</f>
        <v>69</v>
      </c>
      <c r="V21" s="10"/>
      <c r="W21" s="7">
        <v>16</v>
      </c>
      <c r="X21" s="7">
        <v>5</v>
      </c>
      <c r="Y21" s="13">
        <f t="shared" si="7"/>
        <v>1.1168981481481481E-2</v>
      </c>
      <c r="Z21" s="7">
        <v>235</v>
      </c>
      <c r="AA21" s="7">
        <f t="shared" si="8"/>
        <v>5</v>
      </c>
      <c r="AB21" s="13">
        <f t="shared" si="9"/>
        <v>1.1226851851851851E-2</v>
      </c>
      <c r="AC21" s="7">
        <f t="shared" si="10"/>
        <v>10</v>
      </c>
      <c r="AD21" s="7">
        <f>VLOOKUP(AC21,'Место-баллы'!$A$3:$E$52,2,0)</f>
        <v>67</v>
      </c>
      <c r="AE21" s="10"/>
      <c r="AF21" s="7"/>
      <c r="AG21" s="7"/>
      <c r="AH21" s="13"/>
      <c r="AI21" s="7"/>
      <c r="AJ21" s="7"/>
      <c r="AK21" s="13"/>
      <c r="AL21" s="7"/>
      <c r="AM21" s="7">
        <v>0</v>
      </c>
      <c r="AN21" s="10"/>
      <c r="AO21" s="7"/>
      <c r="AP21" s="7"/>
      <c r="AQ21" s="13"/>
      <c r="AR21" s="7"/>
      <c r="AS21" s="7"/>
      <c r="AT21" s="13"/>
      <c r="AU21" s="7"/>
      <c r="AV21" s="7">
        <v>0</v>
      </c>
    </row>
    <row r="22" spans="2:48" x14ac:dyDescent="0.25">
      <c r="B22" s="7">
        <f t="shared" si="0"/>
        <v>15</v>
      </c>
      <c r="C22" s="7">
        <f t="shared" si="1"/>
        <v>175</v>
      </c>
      <c r="D22" s="7">
        <f>VLOOKUP(B22,'Место-баллы'!$A$3:$E$52,5,0)</f>
        <v>32</v>
      </c>
      <c r="E22" s="10"/>
      <c r="F22" s="10" t="s">
        <v>113</v>
      </c>
      <c r="G22" s="10" t="s">
        <v>114</v>
      </c>
      <c r="H22" s="15"/>
      <c r="I22" s="10"/>
      <c r="J22" s="7">
        <v>10</v>
      </c>
      <c r="K22" s="7">
        <v>5</v>
      </c>
      <c r="L22" s="13">
        <f t="shared" si="2"/>
        <v>7.0023148148148145E-3</v>
      </c>
      <c r="M22" s="7">
        <v>58</v>
      </c>
      <c r="N22" s="7">
        <f t="shared" si="3"/>
        <v>62</v>
      </c>
      <c r="O22" s="13">
        <f t="shared" si="4"/>
        <v>7.7199074074074071E-3</v>
      </c>
      <c r="P22" s="7">
        <f t="shared" si="5"/>
        <v>15</v>
      </c>
      <c r="Q22" s="7">
        <f>VLOOKUP(P22,'Место-баллы'!$A$3:$E$52,2,0)</f>
        <v>57</v>
      </c>
      <c r="R22" s="10"/>
      <c r="S22" s="7">
        <f>70+60</f>
        <v>130</v>
      </c>
      <c r="T22" s="7">
        <f t="shared" si="6"/>
        <v>13</v>
      </c>
      <c r="U22" s="7">
        <f>VLOOKUP(T22,'Место-баллы'!$A$3:$E$52,2,0)</f>
        <v>61</v>
      </c>
      <c r="V22" s="10"/>
      <c r="W22" s="7">
        <v>16</v>
      </c>
      <c r="X22" s="7">
        <v>5</v>
      </c>
      <c r="Y22" s="13">
        <f t="shared" si="7"/>
        <v>1.1168981481481481E-2</v>
      </c>
      <c r="Z22" s="7">
        <v>223</v>
      </c>
      <c r="AA22" s="7">
        <f t="shared" si="8"/>
        <v>17</v>
      </c>
      <c r="AB22" s="13">
        <f t="shared" si="9"/>
        <v>1.136574074074074E-2</v>
      </c>
      <c r="AC22" s="7">
        <f t="shared" si="10"/>
        <v>15</v>
      </c>
      <c r="AD22" s="7">
        <f>VLOOKUP(AC22,'Место-баллы'!$A$3:$E$52,2,0)</f>
        <v>57</v>
      </c>
      <c r="AE22" s="10"/>
      <c r="AF22" s="7"/>
      <c r="AG22" s="7"/>
      <c r="AH22" s="13"/>
      <c r="AI22" s="7"/>
      <c r="AJ22" s="7"/>
      <c r="AK22" s="13"/>
      <c r="AL22" s="7"/>
      <c r="AM22" s="7">
        <v>0</v>
      </c>
      <c r="AN22" s="10"/>
      <c r="AO22" s="7"/>
      <c r="AP22" s="7"/>
      <c r="AQ22" s="13"/>
      <c r="AR22" s="7"/>
      <c r="AS22" s="7"/>
      <c r="AT22" s="13"/>
      <c r="AU22" s="7"/>
      <c r="AV22" s="7">
        <v>0</v>
      </c>
    </row>
    <row r="23" spans="2:48" ht="15.75" customHeight="1" x14ac:dyDescent="0.25"/>
    <row r="24" spans="2:48" ht="15.75" customHeight="1" x14ac:dyDescent="0.25"/>
    <row r="25" spans="2:48" ht="15.75" customHeight="1" x14ac:dyDescent="0.25"/>
    <row r="26" spans="2:48" ht="15.75" customHeight="1" x14ac:dyDescent="0.25"/>
    <row r="27" spans="2:48" ht="15.75" customHeight="1" x14ac:dyDescent="0.25"/>
    <row r="28" spans="2:48" ht="15.75" customHeight="1" x14ac:dyDescent="0.25"/>
    <row r="29" spans="2:48" ht="15.75" customHeight="1" x14ac:dyDescent="0.25"/>
    <row r="30" spans="2:48" ht="15.75" customHeight="1" x14ac:dyDescent="0.25"/>
    <row r="31" spans="2:48" ht="15.75" customHeight="1" x14ac:dyDescent="0.25"/>
    <row r="32" spans="2:4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</sheetData>
  <autoFilter ref="B7:AV7" xr:uid="{D529E903-D6D4-4953-98D9-990DFF2AE683}">
    <sortState xmlns:xlrd2="http://schemas.microsoft.com/office/spreadsheetml/2017/richdata2" ref="B8:AV22">
      <sortCondition ref="B7"/>
    </sortState>
  </autoFilter>
  <mergeCells count="7">
    <mergeCell ref="AO5:AV6"/>
    <mergeCell ref="B5:D6"/>
    <mergeCell ref="F5:H6"/>
    <mergeCell ref="J5:Q6"/>
    <mergeCell ref="S5:U6"/>
    <mergeCell ref="W5:AD6"/>
    <mergeCell ref="AF5:AM6"/>
  </mergeCells>
  <conditionalFormatting sqref="F8:F22">
    <cfRule type="duplicateValues" dxfId="3" priority="11"/>
  </conditionalFormatting>
  <printOptions horizontalCentered="1" verticalCentered="1"/>
  <pageMargins left="0" right="0" top="0" bottom="0" header="0" footer="0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5616-7AE1-4645-A67D-8FF4F3B0327B}">
  <sheetPr>
    <pageSetUpPr fitToPage="1"/>
  </sheetPr>
  <dimension ref="B1:AH60"/>
  <sheetViews>
    <sheetView zoomScaleNormal="100" workbookViewId="0">
      <pane xSplit="9" ySplit="7" topLeftCell="L8" activePane="bottomRight" state="frozen"/>
      <selection pane="topRight" activeCell="J1" sqref="J1"/>
      <selection pane="bottomLeft" activeCell="A8" sqref="A8"/>
      <selection pane="bottomRight" activeCell="I20" sqref="I20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31.5703125" bestFit="1" customWidth="1"/>
    <col min="7" max="7" width="1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hidden="1" customWidth="1" outlineLevel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5.140625" hidden="1" customWidth="1" outlineLevel="1"/>
    <col min="20" max="20" width="4.28515625" hidden="1" customWidth="1" outlineLevel="1"/>
    <col min="21" max="21" width="7.140625" customWidth="1" collapsed="1"/>
    <col min="22" max="22" width="6.85546875" customWidth="1"/>
    <col min="23" max="23" width="7.85546875" hidden="1" customWidth="1" outlineLevel="1"/>
    <col min="24" max="24" width="7.140625" hidden="1" customWidth="1" outlineLevel="1"/>
    <col min="25" max="25" width="7.140625" customWidth="1" collapsed="1"/>
    <col min="26" max="26" width="6.85546875" customWidth="1"/>
    <col min="27" max="27" width="1.42578125" customWidth="1"/>
    <col min="28" max="28" width="7" customWidth="1"/>
    <col min="29" max="29" width="7.140625" customWidth="1"/>
    <col min="30" max="30" width="6.85546875" customWidth="1"/>
    <col min="31" max="31" width="1.42578125" customWidth="1"/>
    <col min="32" max="32" width="7" customWidth="1"/>
    <col min="33" max="33" width="7.140625" customWidth="1"/>
    <col min="34" max="34" width="6.85546875" customWidth="1"/>
  </cols>
  <sheetData>
    <row r="1" spans="2:34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3"/>
      <c r="V1" s="3"/>
      <c r="W1" s="3"/>
      <c r="X1" s="3"/>
      <c r="Y1" s="3"/>
      <c r="Z1" s="4">
        <v>1</v>
      </c>
      <c r="AB1" s="3"/>
      <c r="AC1" s="3"/>
      <c r="AD1" s="4">
        <v>1</v>
      </c>
      <c r="AF1" s="3"/>
      <c r="AG1" s="3"/>
      <c r="AH1" s="4">
        <v>1</v>
      </c>
    </row>
    <row r="2" spans="2:34" x14ac:dyDescent="0.25">
      <c r="F2" s="12"/>
      <c r="G2" s="12"/>
      <c r="H2" s="12"/>
      <c r="J2" s="3"/>
      <c r="K2" s="3"/>
      <c r="L2" s="3"/>
      <c r="M2" s="5">
        <v>150</v>
      </c>
      <c r="N2" s="3"/>
      <c r="O2" s="3"/>
      <c r="P2" s="3"/>
      <c r="Q2" s="3"/>
      <c r="S2" s="3"/>
      <c r="T2" s="3"/>
      <c r="U2" s="3"/>
      <c r="V2" s="5">
        <f>1000+50+30+50+1000</f>
        <v>2130</v>
      </c>
      <c r="W2" s="3"/>
      <c r="X2" s="3"/>
      <c r="Y2" s="3"/>
      <c r="Z2" s="3"/>
      <c r="AB2" s="3"/>
      <c r="AC2" s="3"/>
      <c r="AD2" s="3"/>
      <c r="AF2" s="3"/>
      <c r="AG2" s="3"/>
      <c r="AH2" s="3"/>
    </row>
    <row r="3" spans="2:34" x14ac:dyDescent="0.25">
      <c r="F3" s="12"/>
      <c r="G3" s="12"/>
      <c r="H3" s="12"/>
      <c r="J3" s="3"/>
      <c r="K3" s="3"/>
      <c r="L3" s="3"/>
      <c r="M3" s="6" t="s">
        <v>21</v>
      </c>
      <c r="N3" s="3"/>
      <c r="O3" s="3"/>
      <c r="P3" s="3"/>
      <c r="Q3" s="3"/>
      <c r="S3" s="3"/>
      <c r="T3" s="3"/>
      <c r="U3" s="3"/>
      <c r="V3" s="6" t="s">
        <v>42</v>
      </c>
      <c r="W3" s="3"/>
      <c r="X3" s="3"/>
      <c r="Y3" s="3"/>
      <c r="Z3" s="3"/>
      <c r="AB3" s="6"/>
      <c r="AC3" s="3"/>
      <c r="AD3" s="3"/>
      <c r="AF3" s="6"/>
      <c r="AG3" s="3"/>
      <c r="AH3" s="3"/>
    </row>
    <row r="4" spans="2:34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F4" s="3"/>
      <c r="AG4" s="3"/>
      <c r="AH4" s="3"/>
    </row>
    <row r="5" spans="2:34" ht="15" customHeight="1" x14ac:dyDescent="0.25">
      <c r="B5" s="24" t="s">
        <v>4</v>
      </c>
      <c r="C5" s="25"/>
      <c r="D5" s="26"/>
      <c r="E5" s="7"/>
      <c r="F5" s="24" t="s">
        <v>41</v>
      </c>
      <c r="G5" s="25"/>
      <c r="H5" s="26"/>
      <c r="I5" s="7"/>
      <c r="J5" s="24" t="s">
        <v>16</v>
      </c>
      <c r="K5" s="25"/>
      <c r="L5" s="25"/>
      <c r="M5" s="25"/>
      <c r="N5" s="25"/>
      <c r="O5" s="25"/>
      <c r="P5" s="25"/>
      <c r="Q5" s="26"/>
      <c r="R5" s="7"/>
      <c r="S5" s="24" t="s">
        <v>19</v>
      </c>
      <c r="T5" s="25"/>
      <c r="U5" s="25"/>
      <c r="V5" s="25"/>
      <c r="W5" s="25"/>
      <c r="X5" s="25"/>
      <c r="Y5" s="25"/>
      <c r="Z5" s="26"/>
      <c r="AA5" s="7"/>
      <c r="AB5" s="25" t="s">
        <v>35</v>
      </c>
      <c r="AC5" s="25"/>
      <c r="AD5" s="26"/>
      <c r="AE5" s="7"/>
      <c r="AF5" s="25" t="s">
        <v>36</v>
      </c>
      <c r="AG5" s="25"/>
      <c r="AH5" s="26"/>
    </row>
    <row r="6" spans="2:34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7"/>
      <c r="T6" s="28"/>
      <c r="U6" s="28"/>
      <c r="V6" s="28"/>
      <c r="W6" s="28"/>
      <c r="X6" s="28"/>
      <c r="Y6" s="28"/>
      <c r="Z6" s="29"/>
      <c r="AA6" s="8"/>
      <c r="AB6" s="28"/>
      <c r="AC6" s="28"/>
      <c r="AD6" s="29"/>
      <c r="AE6" s="8"/>
      <c r="AF6" s="28"/>
      <c r="AG6" s="28"/>
      <c r="AH6" s="29"/>
    </row>
    <row r="7" spans="2:34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1" t="s">
        <v>9</v>
      </c>
      <c r="T7" s="11" t="s">
        <v>10</v>
      </c>
      <c r="U7" s="11" t="s">
        <v>11</v>
      </c>
      <c r="V7" s="16" t="s">
        <v>14</v>
      </c>
      <c r="W7" s="11" t="s">
        <v>15</v>
      </c>
      <c r="X7" s="11" t="s">
        <v>11</v>
      </c>
      <c r="Y7" s="11" t="s">
        <v>12</v>
      </c>
      <c r="Z7" s="11" t="s">
        <v>13</v>
      </c>
      <c r="AA7" s="9"/>
      <c r="AB7" s="16" t="s">
        <v>14</v>
      </c>
      <c r="AC7" s="11" t="s">
        <v>12</v>
      </c>
      <c r="AD7" s="11" t="s">
        <v>13</v>
      </c>
      <c r="AE7" s="9"/>
      <c r="AF7" s="16" t="s">
        <v>14</v>
      </c>
      <c r="AG7" s="11" t="s">
        <v>12</v>
      </c>
      <c r="AH7" s="11" t="s">
        <v>13</v>
      </c>
    </row>
    <row r="8" spans="2:34" x14ac:dyDescent="0.25">
      <c r="B8" s="7">
        <f t="shared" ref="B8:B15" si="0">RANK(C8,C$8:C$28,0)</f>
        <v>1</v>
      </c>
      <c r="C8" s="7">
        <f t="shared" ref="C8:C28" si="1">SUMIF($I$1:$AH$1,1,$I8:$AH8)</f>
        <v>362</v>
      </c>
      <c r="D8" s="7">
        <f>VLOOKUP(B8,'Место-баллы'!$A$3:$E$52,5,0)</f>
        <v>50</v>
      </c>
      <c r="E8" s="10"/>
      <c r="F8" s="10" t="s">
        <v>63</v>
      </c>
      <c r="G8" s="10" t="s">
        <v>64</v>
      </c>
      <c r="H8" s="15"/>
      <c r="I8" s="10"/>
      <c r="J8" s="7">
        <v>3</v>
      </c>
      <c r="K8" s="7">
        <v>25</v>
      </c>
      <c r="L8" s="13">
        <f t="shared" ref="L8:L28" si="2">TIME(0,J8,K8)</f>
        <v>2.3726851851851851E-3</v>
      </c>
      <c r="M8" s="7">
        <v>150</v>
      </c>
      <c r="N8" s="7">
        <f t="shared" ref="N8:N28" si="3">M$2-M8</f>
        <v>0</v>
      </c>
      <c r="O8" s="13">
        <f t="shared" ref="O8:O28" si="4">L8+TIME(0,0,N8)</f>
        <v>2.3726851851851851E-3</v>
      </c>
      <c r="P8" s="7">
        <f t="shared" ref="P8:P28" si="5">RANK(O8,O$8:O$28,1)</f>
        <v>1</v>
      </c>
      <c r="Q8" s="7">
        <f>VLOOKUP(P8,'Место-баллы'!$A$3:$E$52,2,0)</f>
        <v>100</v>
      </c>
      <c r="R8" s="10"/>
      <c r="S8" s="7">
        <v>13</v>
      </c>
      <c r="T8" s="7">
        <v>5</v>
      </c>
      <c r="U8" s="13">
        <f t="shared" ref="U8:U27" si="6">TIME(0,S8,T8)</f>
        <v>9.0856481481481483E-3</v>
      </c>
      <c r="V8" s="7">
        <f>1130+990</f>
        <v>2120</v>
      </c>
      <c r="W8" s="7">
        <f t="shared" ref="W8:W27" si="7">V$2-V8</f>
        <v>10</v>
      </c>
      <c r="X8" s="13">
        <f t="shared" ref="X8:X27" si="8">U8+TIME(0,0,W8)</f>
        <v>9.2013888888888892E-3</v>
      </c>
      <c r="Y8" s="7">
        <f t="shared" ref="Y8:Y27" si="9">RANK(X8,X$8:X$28,1)</f>
        <v>10</v>
      </c>
      <c r="Z8" s="7">
        <f>VLOOKUP(Y8,'Место-баллы'!$A$3:$E$52,2,0)</f>
        <v>67</v>
      </c>
      <c r="AA8" s="10"/>
      <c r="AB8" s="7">
        <f>36+26+20+22</f>
        <v>104</v>
      </c>
      <c r="AC8" s="7">
        <f t="shared" ref="AC8:AC15" si="10">RANK(AB8,AB$8:AB$28,0)</f>
        <v>2</v>
      </c>
      <c r="AD8" s="7">
        <f>VLOOKUP(AC8,'Место-баллы'!$A$3:$E$52,2,0)</f>
        <v>95</v>
      </c>
      <c r="AE8" s="10"/>
      <c r="AF8" s="7">
        <f>20+22+20+20</f>
        <v>82</v>
      </c>
      <c r="AG8" s="7">
        <f t="shared" ref="AG8:AG15" si="11">RANK(AF8,AF$8:AF$28,0)</f>
        <v>1</v>
      </c>
      <c r="AH8" s="7">
        <f>VLOOKUP(AG8,'Место-баллы'!$A$3:$E$52,2,0)</f>
        <v>100</v>
      </c>
    </row>
    <row r="9" spans="2:34" x14ac:dyDescent="0.25">
      <c r="B9" s="7">
        <f t="shared" si="0"/>
        <v>2</v>
      </c>
      <c r="C9" s="7">
        <f t="shared" si="1"/>
        <v>353</v>
      </c>
      <c r="D9" s="7">
        <f>VLOOKUP(B9,'Место-баллы'!$A$3:$E$52,5,0)</f>
        <v>48</v>
      </c>
      <c r="E9" s="10"/>
      <c r="F9" s="18" t="s">
        <v>150</v>
      </c>
      <c r="G9" s="10" t="s">
        <v>49</v>
      </c>
      <c r="H9" s="15"/>
      <c r="I9" s="10"/>
      <c r="J9" s="7">
        <v>3</v>
      </c>
      <c r="K9" s="7">
        <v>26</v>
      </c>
      <c r="L9" s="13">
        <f t="shared" si="2"/>
        <v>2.3842592592592591E-3</v>
      </c>
      <c r="M9" s="7">
        <v>150</v>
      </c>
      <c r="N9" s="7">
        <f t="shared" si="3"/>
        <v>0</v>
      </c>
      <c r="O9" s="13">
        <f t="shared" si="4"/>
        <v>2.3842592592592591E-3</v>
      </c>
      <c r="P9" s="7">
        <f t="shared" si="5"/>
        <v>2</v>
      </c>
      <c r="Q9" s="7">
        <f>VLOOKUP(P9,'Место-баллы'!$A$3:$E$52,2,0)</f>
        <v>95</v>
      </c>
      <c r="R9" s="10"/>
      <c r="S9" s="7">
        <v>12</v>
      </c>
      <c r="T9" s="7">
        <v>51</v>
      </c>
      <c r="U9" s="13">
        <f t="shared" si="6"/>
        <v>8.9236111111111113E-3</v>
      </c>
      <c r="V9" s="7">
        <v>2130</v>
      </c>
      <c r="W9" s="7">
        <f t="shared" si="7"/>
        <v>0</v>
      </c>
      <c r="X9" s="13">
        <f t="shared" si="8"/>
        <v>8.9236111111111113E-3</v>
      </c>
      <c r="Y9" s="7">
        <f t="shared" si="9"/>
        <v>4</v>
      </c>
      <c r="Z9" s="7">
        <f>VLOOKUP(Y9,'Место-баллы'!$A$3:$E$52,2,0)</f>
        <v>85</v>
      </c>
      <c r="AA9" s="10"/>
      <c r="AB9" s="7">
        <f>25+28+34+25</f>
        <v>112</v>
      </c>
      <c r="AC9" s="7">
        <f t="shared" si="10"/>
        <v>1</v>
      </c>
      <c r="AD9" s="7">
        <f>VLOOKUP(AC9,'Место-баллы'!$A$3:$E$52,2,0)</f>
        <v>100</v>
      </c>
      <c r="AE9" s="10"/>
      <c r="AF9" s="7">
        <f>19+17+16+10</f>
        <v>62</v>
      </c>
      <c r="AG9" s="7">
        <f t="shared" si="11"/>
        <v>7</v>
      </c>
      <c r="AH9" s="7">
        <f>VLOOKUP(AG9,'Место-баллы'!$A$3:$E$52,2,0)</f>
        <v>73</v>
      </c>
    </row>
    <row r="10" spans="2:34" x14ac:dyDescent="0.25">
      <c r="B10" s="7">
        <f t="shared" si="0"/>
        <v>3</v>
      </c>
      <c r="C10" s="7">
        <f t="shared" si="1"/>
        <v>348</v>
      </c>
      <c r="D10" s="7">
        <f>VLOOKUP(B10,'Место-баллы'!$A$3:$E$52,5,0)</f>
        <v>46</v>
      </c>
      <c r="E10" s="10"/>
      <c r="F10" s="10" t="s">
        <v>73</v>
      </c>
      <c r="G10" s="10" t="s">
        <v>49</v>
      </c>
      <c r="H10" s="15"/>
      <c r="I10" s="10"/>
      <c r="J10" s="7">
        <v>4</v>
      </c>
      <c r="K10" s="7">
        <v>3</v>
      </c>
      <c r="L10" s="13">
        <f t="shared" si="2"/>
        <v>2.8124999999999999E-3</v>
      </c>
      <c r="M10" s="7">
        <v>150</v>
      </c>
      <c r="N10" s="7">
        <f t="shared" si="3"/>
        <v>0</v>
      </c>
      <c r="O10" s="13">
        <f t="shared" si="4"/>
        <v>2.8124999999999999E-3</v>
      </c>
      <c r="P10" s="7">
        <f t="shared" si="5"/>
        <v>7</v>
      </c>
      <c r="Q10" s="7">
        <f>VLOOKUP(P10,'Место-баллы'!$A$3:$E$52,2,0)</f>
        <v>73</v>
      </c>
      <c r="R10" s="10"/>
      <c r="S10" s="7">
        <v>12</v>
      </c>
      <c r="T10" s="7">
        <v>36</v>
      </c>
      <c r="U10" s="13">
        <f t="shared" si="6"/>
        <v>8.7500000000000008E-3</v>
      </c>
      <c r="V10" s="7">
        <v>2130</v>
      </c>
      <c r="W10" s="7">
        <f t="shared" si="7"/>
        <v>0</v>
      </c>
      <c r="X10" s="13">
        <f t="shared" si="8"/>
        <v>8.7500000000000008E-3</v>
      </c>
      <c r="Y10" s="7">
        <f t="shared" si="9"/>
        <v>1</v>
      </c>
      <c r="Z10" s="7">
        <f>VLOOKUP(Y10,'Место-баллы'!$A$3:$E$52,2,0)</f>
        <v>100</v>
      </c>
      <c r="AA10" s="10"/>
      <c r="AB10" s="7">
        <f>28+30+16+26</f>
        <v>100</v>
      </c>
      <c r="AC10" s="7">
        <f t="shared" si="10"/>
        <v>4</v>
      </c>
      <c r="AD10" s="7">
        <f>VLOOKUP(AC10,'Место-баллы'!$A$3:$E$52,2,0)</f>
        <v>85</v>
      </c>
      <c r="AE10" s="10"/>
      <c r="AF10" s="7">
        <f>20+18+15+21</f>
        <v>74</v>
      </c>
      <c r="AG10" s="7">
        <f t="shared" si="11"/>
        <v>3</v>
      </c>
      <c r="AH10" s="7">
        <f>VLOOKUP(AG10,'Место-баллы'!$A$3:$E$52,2,0)</f>
        <v>90</v>
      </c>
    </row>
    <row r="11" spans="2:34" x14ac:dyDescent="0.25">
      <c r="B11" s="7">
        <f t="shared" si="0"/>
        <v>4</v>
      </c>
      <c r="C11" s="7">
        <f t="shared" si="1"/>
        <v>346</v>
      </c>
      <c r="D11" s="7">
        <f>VLOOKUP(B11,'Место-баллы'!$A$3:$E$52,5,0)</f>
        <v>44</v>
      </c>
      <c r="E11" s="10"/>
      <c r="F11" s="10" t="s">
        <v>68</v>
      </c>
      <c r="G11" s="10" t="s">
        <v>49</v>
      </c>
      <c r="H11" s="15"/>
      <c r="I11" s="10"/>
      <c r="J11" s="7">
        <v>3</v>
      </c>
      <c r="K11" s="7">
        <v>35</v>
      </c>
      <c r="L11" s="13">
        <f t="shared" si="2"/>
        <v>2.488425925925926E-3</v>
      </c>
      <c r="M11" s="7">
        <v>150</v>
      </c>
      <c r="N11" s="7">
        <f t="shared" si="3"/>
        <v>0</v>
      </c>
      <c r="O11" s="13">
        <f t="shared" si="4"/>
        <v>2.488425925925926E-3</v>
      </c>
      <c r="P11" s="7">
        <f t="shared" si="5"/>
        <v>3</v>
      </c>
      <c r="Q11" s="7">
        <f>VLOOKUP(P11,'Место-баллы'!$A$3:$E$52,2,0)</f>
        <v>90</v>
      </c>
      <c r="R11" s="10"/>
      <c r="S11" s="7">
        <v>12</v>
      </c>
      <c r="T11" s="7">
        <v>39</v>
      </c>
      <c r="U11" s="13">
        <f t="shared" si="6"/>
        <v>8.7847222222222215E-3</v>
      </c>
      <c r="V11" s="7">
        <v>2130</v>
      </c>
      <c r="W11" s="7">
        <f t="shared" si="7"/>
        <v>0</v>
      </c>
      <c r="X11" s="13">
        <f t="shared" si="8"/>
        <v>8.7847222222222215E-3</v>
      </c>
      <c r="Y11" s="7">
        <f t="shared" si="9"/>
        <v>2</v>
      </c>
      <c r="Z11" s="7">
        <f>VLOOKUP(Y11,'Место-баллы'!$A$3:$E$52,2,0)</f>
        <v>95</v>
      </c>
      <c r="AA11" s="10"/>
      <c r="AB11" s="7">
        <f>29+27+22+25</f>
        <v>103</v>
      </c>
      <c r="AC11" s="7">
        <f t="shared" si="10"/>
        <v>3</v>
      </c>
      <c r="AD11" s="7">
        <f>VLOOKUP(AC11,'Место-баллы'!$A$3:$E$52,2,0)</f>
        <v>90</v>
      </c>
      <c r="AE11" s="10"/>
      <c r="AF11" s="7">
        <f>10+14+14+14</f>
        <v>52</v>
      </c>
      <c r="AG11" s="7">
        <f t="shared" si="11"/>
        <v>8</v>
      </c>
      <c r="AH11" s="7">
        <f>VLOOKUP(AG11,'Место-баллы'!$A$3:$E$52,2,0)</f>
        <v>71</v>
      </c>
    </row>
    <row r="12" spans="2:34" x14ac:dyDescent="0.25">
      <c r="B12" s="7">
        <f t="shared" si="0"/>
        <v>5</v>
      </c>
      <c r="C12" s="7">
        <f t="shared" si="1"/>
        <v>340</v>
      </c>
      <c r="D12" s="7">
        <f>VLOOKUP(B12,'Место-баллы'!$A$3:$E$52,5,0)</f>
        <v>42</v>
      </c>
      <c r="E12" s="10"/>
      <c r="F12" s="10" t="s">
        <v>61</v>
      </c>
      <c r="G12" s="10" t="s">
        <v>53</v>
      </c>
      <c r="H12" s="15"/>
      <c r="I12" s="10"/>
      <c r="J12" s="7">
        <v>3</v>
      </c>
      <c r="K12" s="7">
        <v>51</v>
      </c>
      <c r="L12" s="13">
        <f t="shared" si="2"/>
        <v>2.673611111111111E-3</v>
      </c>
      <c r="M12" s="7">
        <v>150</v>
      </c>
      <c r="N12" s="7">
        <f t="shared" si="3"/>
        <v>0</v>
      </c>
      <c r="O12" s="13">
        <f t="shared" si="4"/>
        <v>2.673611111111111E-3</v>
      </c>
      <c r="P12" s="7">
        <f t="shared" si="5"/>
        <v>5</v>
      </c>
      <c r="Q12" s="7">
        <f>VLOOKUP(P12,'Место-баллы'!$A$3:$E$52,2,0)</f>
        <v>80</v>
      </c>
      <c r="R12" s="10"/>
      <c r="S12" s="7">
        <v>12</v>
      </c>
      <c r="T12" s="7">
        <v>43</v>
      </c>
      <c r="U12" s="13">
        <f t="shared" si="6"/>
        <v>8.8310185185185193E-3</v>
      </c>
      <c r="V12" s="7">
        <v>2130</v>
      </c>
      <c r="W12" s="7">
        <f t="shared" si="7"/>
        <v>0</v>
      </c>
      <c r="X12" s="13">
        <f t="shared" si="8"/>
        <v>8.8310185185185193E-3</v>
      </c>
      <c r="Y12" s="7">
        <f t="shared" si="9"/>
        <v>3</v>
      </c>
      <c r="Z12" s="7">
        <f>VLOOKUP(Y12,'Место-баллы'!$A$3:$E$52,2,0)</f>
        <v>90</v>
      </c>
      <c r="AA12" s="10"/>
      <c r="AB12" s="7">
        <f>20+26+26+23</f>
        <v>95</v>
      </c>
      <c r="AC12" s="7">
        <f t="shared" si="10"/>
        <v>6</v>
      </c>
      <c r="AD12" s="7">
        <f>VLOOKUP(AC12,'Место-баллы'!$A$3:$E$52,2,0)</f>
        <v>75</v>
      </c>
      <c r="AE12" s="10"/>
      <c r="AF12" s="7">
        <f>20+23+13+21</f>
        <v>77</v>
      </c>
      <c r="AG12" s="7">
        <f t="shared" si="11"/>
        <v>2</v>
      </c>
      <c r="AH12" s="7">
        <f>VLOOKUP(AG12,'Место-баллы'!$A$3:$E$52,2,0)</f>
        <v>95</v>
      </c>
    </row>
    <row r="13" spans="2:34" x14ac:dyDescent="0.25">
      <c r="B13" s="7">
        <f t="shared" si="0"/>
        <v>6</v>
      </c>
      <c r="C13" s="7">
        <f t="shared" si="1"/>
        <v>320</v>
      </c>
      <c r="D13" s="7">
        <f>VLOOKUP(B13,'Место-баллы'!$A$3:$E$52,5,0)</f>
        <v>41</v>
      </c>
      <c r="E13" s="10"/>
      <c r="F13" s="10" t="s">
        <v>56</v>
      </c>
      <c r="G13" s="10" t="s">
        <v>57</v>
      </c>
      <c r="H13" s="15"/>
      <c r="I13" s="10"/>
      <c r="J13" s="7">
        <v>4</v>
      </c>
      <c r="K13" s="7">
        <v>1</v>
      </c>
      <c r="L13" s="13">
        <f t="shared" si="2"/>
        <v>2.7893518518518519E-3</v>
      </c>
      <c r="M13" s="7">
        <v>150</v>
      </c>
      <c r="N13" s="7">
        <f t="shared" si="3"/>
        <v>0</v>
      </c>
      <c r="O13" s="13">
        <f t="shared" si="4"/>
        <v>2.7893518518518519E-3</v>
      </c>
      <c r="P13" s="7">
        <f t="shared" si="5"/>
        <v>6</v>
      </c>
      <c r="Q13" s="7">
        <f>VLOOKUP(P13,'Место-баллы'!$A$3:$E$52,2,0)</f>
        <v>75</v>
      </c>
      <c r="R13" s="10"/>
      <c r="S13" s="7">
        <v>12</v>
      </c>
      <c r="T13" s="7">
        <v>52</v>
      </c>
      <c r="U13" s="13">
        <f t="shared" si="6"/>
        <v>8.9351851851851849E-3</v>
      </c>
      <c r="V13" s="7">
        <v>2130</v>
      </c>
      <c r="W13" s="7">
        <f t="shared" si="7"/>
        <v>0</v>
      </c>
      <c r="X13" s="13">
        <f t="shared" si="8"/>
        <v>8.9351851851851849E-3</v>
      </c>
      <c r="Y13" s="7">
        <f t="shared" si="9"/>
        <v>5</v>
      </c>
      <c r="Z13" s="7">
        <f>VLOOKUP(Y13,'Место-баллы'!$A$3:$E$52,2,0)</f>
        <v>80</v>
      </c>
      <c r="AA13" s="10"/>
      <c r="AB13" s="7">
        <f>35+23+16+22</f>
        <v>96</v>
      </c>
      <c r="AC13" s="7">
        <f t="shared" si="10"/>
        <v>5</v>
      </c>
      <c r="AD13" s="7">
        <f>VLOOKUP(AC13,'Место-баллы'!$A$3:$E$52,2,0)</f>
        <v>80</v>
      </c>
      <c r="AE13" s="10"/>
      <c r="AF13" s="7">
        <f>25+14+15+16</f>
        <v>70</v>
      </c>
      <c r="AG13" s="7">
        <f t="shared" si="11"/>
        <v>4</v>
      </c>
      <c r="AH13" s="7">
        <f>VLOOKUP(AG13,'Место-баллы'!$A$3:$E$52,2,0)</f>
        <v>85</v>
      </c>
    </row>
    <row r="14" spans="2:34" x14ac:dyDescent="0.25">
      <c r="B14" s="7">
        <f t="shared" si="0"/>
        <v>7</v>
      </c>
      <c r="C14" s="7">
        <f t="shared" si="1"/>
        <v>304</v>
      </c>
      <c r="D14" s="7">
        <f>VLOOKUP(B14,'Место-баллы'!$A$3:$E$52,5,0)</f>
        <v>40</v>
      </c>
      <c r="E14" s="10"/>
      <c r="F14" s="10" t="s">
        <v>62</v>
      </c>
      <c r="G14" s="10" t="s">
        <v>53</v>
      </c>
      <c r="H14" s="15"/>
      <c r="I14" s="10"/>
      <c r="J14" s="7">
        <v>3</v>
      </c>
      <c r="K14" s="7">
        <v>41</v>
      </c>
      <c r="L14" s="13">
        <f t="shared" si="2"/>
        <v>2.5578703703703705E-3</v>
      </c>
      <c r="M14" s="7">
        <v>150</v>
      </c>
      <c r="N14" s="7">
        <f t="shared" si="3"/>
        <v>0</v>
      </c>
      <c r="O14" s="13">
        <f t="shared" si="4"/>
        <v>2.5578703703703705E-3</v>
      </c>
      <c r="P14" s="7">
        <f t="shared" si="5"/>
        <v>4</v>
      </c>
      <c r="Q14" s="7">
        <f>VLOOKUP(P14,'Место-баллы'!$A$3:$E$52,2,0)</f>
        <v>85</v>
      </c>
      <c r="R14" s="10"/>
      <c r="S14" s="7">
        <v>12</v>
      </c>
      <c r="T14" s="7">
        <v>58</v>
      </c>
      <c r="U14" s="13">
        <f t="shared" si="6"/>
        <v>9.0046296296296298E-3</v>
      </c>
      <c r="V14" s="7">
        <v>2130</v>
      </c>
      <c r="W14" s="7">
        <f t="shared" si="7"/>
        <v>0</v>
      </c>
      <c r="X14" s="13">
        <f t="shared" si="8"/>
        <v>9.0046296296296298E-3</v>
      </c>
      <c r="Y14" s="7">
        <f t="shared" si="9"/>
        <v>8</v>
      </c>
      <c r="Z14" s="7">
        <f>VLOOKUP(Y14,'Место-баллы'!$A$3:$E$52,2,0)</f>
        <v>71</v>
      </c>
      <c r="AA14" s="10"/>
      <c r="AB14" s="7">
        <f>11+29+29+24</f>
        <v>93</v>
      </c>
      <c r="AC14" s="7">
        <f t="shared" si="10"/>
        <v>7</v>
      </c>
      <c r="AD14" s="7">
        <f>VLOOKUP(AC14,'Место-баллы'!$A$3:$E$52,2,0)</f>
        <v>73</v>
      </c>
      <c r="AE14" s="10"/>
      <c r="AF14" s="7">
        <f>11+20+18+17</f>
        <v>66</v>
      </c>
      <c r="AG14" s="7">
        <f t="shared" si="11"/>
        <v>6</v>
      </c>
      <c r="AH14" s="7">
        <f>VLOOKUP(AG14,'Место-баллы'!$A$3:$E$52,2,0)</f>
        <v>75</v>
      </c>
    </row>
    <row r="15" spans="2:34" x14ac:dyDescent="0.25">
      <c r="B15" s="7">
        <f t="shared" si="0"/>
        <v>8</v>
      </c>
      <c r="C15" s="7">
        <f t="shared" si="1"/>
        <v>293</v>
      </c>
      <c r="D15" s="7">
        <f>VLOOKUP(B15,'Место-баллы'!$A$3:$E$52,5,0)</f>
        <v>39</v>
      </c>
      <c r="E15" s="10"/>
      <c r="F15" s="10" t="s">
        <v>69</v>
      </c>
      <c r="G15" s="10" t="s">
        <v>49</v>
      </c>
      <c r="H15" s="15"/>
      <c r="I15" s="10"/>
      <c r="J15" s="7">
        <v>4</v>
      </c>
      <c r="K15" s="7">
        <v>11</v>
      </c>
      <c r="L15" s="13">
        <f t="shared" si="2"/>
        <v>2.9050925925925928E-3</v>
      </c>
      <c r="M15" s="7">
        <v>150</v>
      </c>
      <c r="N15" s="7">
        <f t="shared" si="3"/>
        <v>0</v>
      </c>
      <c r="O15" s="13">
        <f t="shared" si="4"/>
        <v>2.9050925925925928E-3</v>
      </c>
      <c r="P15" s="7">
        <f t="shared" si="5"/>
        <v>10</v>
      </c>
      <c r="Q15" s="7">
        <f>VLOOKUP(P15,'Место-баллы'!$A$3:$E$52,2,0)</f>
        <v>67</v>
      </c>
      <c r="R15" s="10"/>
      <c r="S15" s="7">
        <v>12</v>
      </c>
      <c r="T15" s="7">
        <v>54</v>
      </c>
      <c r="U15" s="13">
        <f t="shared" si="6"/>
        <v>8.9583333333333338E-3</v>
      </c>
      <c r="V15" s="7">
        <v>2130</v>
      </c>
      <c r="W15" s="7">
        <f t="shared" si="7"/>
        <v>0</v>
      </c>
      <c r="X15" s="13">
        <f t="shared" si="8"/>
        <v>8.9583333333333338E-3</v>
      </c>
      <c r="Y15" s="7">
        <f t="shared" si="9"/>
        <v>6</v>
      </c>
      <c r="Z15" s="7">
        <f>VLOOKUP(Y15,'Место-баллы'!$A$3:$E$52,2,0)</f>
        <v>75</v>
      </c>
      <c r="AA15" s="10"/>
      <c r="AB15" s="7">
        <f>22+22+24+21</f>
        <v>89</v>
      </c>
      <c r="AC15" s="7">
        <f t="shared" si="10"/>
        <v>8</v>
      </c>
      <c r="AD15" s="7">
        <f>VLOOKUP(AC15,'Место-баллы'!$A$3:$E$52,2,0)</f>
        <v>71</v>
      </c>
      <c r="AE15" s="10"/>
      <c r="AF15" s="7">
        <f>15+17+19+17</f>
        <v>68</v>
      </c>
      <c r="AG15" s="7">
        <f t="shared" si="11"/>
        <v>5</v>
      </c>
      <c r="AH15" s="7">
        <f>VLOOKUP(AG15,'Место-баллы'!$A$3:$E$52,2,0)</f>
        <v>80</v>
      </c>
    </row>
    <row r="16" spans="2:34" x14ac:dyDescent="0.25">
      <c r="B16" s="7">
        <v>9</v>
      </c>
      <c r="C16" s="7">
        <f t="shared" si="1"/>
        <v>142</v>
      </c>
      <c r="D16" s="7">
        <f>VLOOKUP(B16,'Место-баллы'!$A$3:$E$52,5,0)</f>
        <v>38</v>
      </c>
      <c r="E16" s="10"/>
      <c r="F16" s="10" t="s">
        <v>65</v>
      </c>
      <c r="G16" s="10" t="s">
        <v>66</v>
      </c>
      <c r="H16" s="15"/>
      <c r="I16" s="10"/>
      <c r="J16" s="7">
        <v>4</v>
      </c>
      <c r="K16" s="7">
        <v>9</v>
      </c>
      <c r="L16" s="13">
        <f t="shared" si="2"/>
        <v>2.8819444444444444E-3</v>
      </c>
      <c r="M16" s="7">
        <v>150</v>
      </c>
      <c r="N16" s="7">
        <f t="shared" si="3"/>
        <v>0</v>
      </c>
      <c r="O16" s="13">
        <f t="shared" si="4"/>
        <v>2.8819444444444444E-3</v>
      </c>
      <c r="P16" s="7">
        <f t="shared" si="5"/>
        <v>9</v>
      </c>
      <c r="Q16" s="7">
        <f>VLOOKUP(P16,'Место-баллы'!$A$3:$E$52,2,0)</f>
        <v>69</v>
      </c>
      <c r="R16" s="10"/>
      <c r="S16" s="7">
        <v>12</v>
      </c>
      <c r="T16" s="7">
        <v>57</v>
      </c>
      <c r="U16" s="13">
        <f t="shared" si="6"/>
        <v>8.9930555555555562E-3</v>
      </c>
      <c r="V16" s="7">
        <v>2130</v>
      </c>
      <c r="W16" s="7">
        <f t="shared" si="7"/>
        <v>0</v>
      </c>
      <c r="X16" s="13">
        <f t="shared" si="8"/>
        <v>8.9930555555555562E-3</v>
      </c>
      <c r="Y16" s="7">
        <f t="shared" si="9"/>
        <v>7</v>
      </c>
      <c r="Z16" s="7">
        <f>VLOOKUP(Y16,'Место-баллы'!$A$3:$E$52,2,0)</f>
        <v>73</v>
      </c>
      <c r="AA16" s="10"/>
      <c r="AB16" s="7"/>
      <c r="AC16" s="7"/>
      <c r="AD16" s="7">
        <v>0</v>
      </c>
      <c r="AE16" s="10"/>
      <c r="AF16" s="7"/>
      <c r="AG16" s="7"/>
      <c r="AH16" s="7">
        <v>0</v>
      </c>
    </row>
    <row r="17" spans="2:34" x14ac:dyDescent="0.25">
      <c r="B17" s="7">
        <f>RANK(C17,C$8:C$28,0)</f>
        <v>10</v>
      </c>
      <c r="C17" s="7">
        <f t="shared" si="1"/>
        <v>140</v>
      </c>
      <c r="D17" s="7">
        <f>VLOOKUP(B17,'Место-баллы'!$A$3:$E$52,5,0)</f>
        <v>37</v>
      </c>
      <c r="E17" s="10"/>
      <c r="F17" s="10" t="s">
        <v>67</v>
      </c>
      <c r="G17" s="10" t="s">
        <v>64</v>
      </c>
      <c r="H17" s="15"/>
      <c r="I17" s="10"/>
      <c r="J17" s="7">
        <v>4</v>
      </c>
      <c r="K17" s="7">
        <v>5</v>
      </c>
      <c r="L17" s="13">
        <f t="shared" si="2"/>
        <v>2.8356481481481483E-3</v>
      </c>
      <c r="M17" s="7">
        <v>150</v>
      </c>
      <c r="N17" s="7">
        <f t="shared" si="3"/>
        <v>0</v>
      </c>
      <c r="O17" s="13">
        <f t="shared" si="4"/>
        <v>2.8356481481481483E-3</v>
      </c>
      <c r="P17" s="7">
        <f t="shared" si="5"/>
        <v>8</v>
      </c>
      <c r="Q17" s="7">
        <f>VLOOKUP(P17,'Место-баллы'!$A$3:$E$52,2,0)</f>
        <v>71</v>
      </c>
      <c r="R17" s="10"/>
      <c r="S17" s="7">
        <v>13</v>
      </c>
      <c r="T17" s="7">
        <v>5</v>
      </c>
      <c r="U17" s="13">
        <f t="shared" si="6"/>
        <v>9.0856481481481483E-3</v>
      </c>
      <c r="V17" s="7">
        <f>1130+992</f>
        <v>2122</v>
      </c>
      <c r="W17" s="7">
        <f t="shared" si="7"/>
        <v>8</v>
      </c>
      <c r="X17" s="13">
        <f t="shared" si="8"/>
        <v>9.1782407407407403E-3</v>
      </c>
      <c r="Y17" s="7">
        <f t="shared" si="9"/>
        <v>9</v>
      </c>
      <c r="Z17" s="7">
        <f>VLOOKUP(Y17,'Место-баллы'!$A$3:$E$52,2,0)</f>
        <v>69</v>
      </c>
      <c r="AA17" s="10"/>
      <c r="AB17" s="7"/>
      <c r="AC17" s="7"/>
      <c r="AD17" s="7">
        <v>0</v>
      </c>
      <c r="AE17" s="10"/>
      <c r="AF17" s="7"/>
      <c r="AG17" s="7"/>
      <c r="AH17" s="7">
        <v>0</v>
      </c>
    </row>
    <row r="18" spans="2:34" x14ac:dyDescent="0.25">
      <c r="B18" s="7">
        <f>RANK(C18,C$8:C$28,0)</f>
        <v>11</v>
      </c>
      <c r="C18" s="7">
        <f t="shared" si="1"/>
        <v>120</v>
      </c>
      <c r="D18" s="7">
        <f>VLOOKUP(B18,'Место-баллы'!$A$3:$E$52,5,0)</f>
        <v>36</v>
      </c>
      <c r="E18" s="10"/>
      <c r="F18" s="10" t="s">
        <v>54</v>
      </c>
      <c r="G18" s="10" t="s">
        <v>55</v>
      </c>
      <c r="H18" s="15"/>
      <c r="I18" s="10"/>
      <c r="J18" s="7">
        <v>4</v>
      </c>
      <c r="K18" s="7">
        <v>13</v>
      </c>
      <c r="L18" s="13">
        <f t="shared" si="2"/>
        <v>2.9282407407407408E-3</v>
      </c>
      <c r="M18" s="7">
        <v>150</v>
      </c>
      <c r="N18" s="7">
        <f t="shared" si="3"/>
        <v>0</v>
      </c>
      <c r="O18" s="13">
        <f t="shared" si="4"/>
        <v>2.9282407407407408E-3</v>
      </c>
      <c r="P18" s="7">
        <f t="shared" si="5"/>
        <v>11</v>
      </c>
      <c r="Q18" s="7">
        <f>VLOOKUP(P18,'Место-баллы'!$A$3:$E$52,2,0)</f>
        <v>65</v>
      </c>
      <c r="R18" s="10"/>
      <c r="S18" s="7">
        <v>13</v>
      </c>
      <c r="T18" s="7">
        <v>5</v>
      </c>
      <c r="U18" s="13">
        <f t="shared" si="6"/>
        <v>9.0856481481481483E-3</v>
      </c>
      <c r="V18" s="7">
        <f>1130+802</f>
        <v>1932</v>
      </c>
      <c r="W18" s="7">
        <f t="shared" si="7"/>
        <v>198</v>
      </c>
      <c r="X18" s="13">
        <f t="shared" si="8"/>
        <v>1.1377314814814816E-2</v>
      </c>
      <c r="Y18" s="7">
        <f t="shared" si="9"/>
        <v>16</v>
      </c>
      <c r="Z18" s="7">
        <f>VLOOKUP(Y18,'Место-баллы'!$A$3:$E$52,2,0)</f>
        <v>55</v>
      </c>
      <c r="AA18" s="10"/>
      <c r="AB18" s="7"/>
      <c r="AC18" s="7"/>
      <c r="AD18" s="7">
        <v>0</v>
      </c>
      <c r="AE18" s="10"/>
      <c r="AF18" s="7"/>
      <c r="AG18" s="7"/>
      <c r="AH18" s="7">
        <v>0</v>
      </c>
    </row>
    <row r="19" spans="2:34" x14ac:dyDescent="0.25">
      <c r="B19" s="7">
        <v>12</v>
      </c>
      <c r="C19" s="7">
        <f t="shared" si="1"/>
        <v>120</v>
      </c>
      <c r="D19" s="7">
        <f>VLOOKUP(B19,'Место-баллы'!$A$3:$E$52,5,0)</f>
        <v>35</v>
      </c>
      <c r="E19" s="10"/>
      <c r="F19" s="10" t="s">
        <v>51</v>
      </c>
      <c r="G19" s="10" t="s">
        <v>49</v>
      </c>
      <c r="H19" s="15"/>
      <c r="I19" s="10"/>
      <c r="J19" s="7">
        <v>4</v>
      </c>
      <c r="K19" s="7">
        <v>36</v>
      </c>
      <c r="L19" s="13">
        <f t="shared" si="2"/>
        <v>3.1944444444444446E-3</v>
      </c>
      <c r="M19" s="7">
        <v>150</v>
      </c>
      <c r="N19" s="7">
        <f t="shared" si="3"/>
        <v>0</v>
      </c>
      <c r="O19" s="13">
        <f t="shared" si="4"/>
        <v>3.1944444444444446E-3</v>
      </c>
      <c r="P19" s="7">
        <f t="shared" si="5"/>
        <v>14</v>
      </c>
      <c r="Q19" s="7">
        <f>VLOOKUP(P19,'Место-баллы'!$A$3:$E$52,2,0)</f>
        <v>59</v>
      </c>
      <c r="R19" s="10"/>
      <c r="S19" s="7">
        <v>13</v>
      </c>
      <c r="T19" s="7">
        <v>5</v>
      </c>
      <c r="U19" s="13">
        <f t="shared" si="6"/>
        <v>9.0856481481481483E-3</v>
      </c>
      <c r="V19" s="7">
        <f>1130+842</f>
        <v>1972</v>
      </c>
      <c r="W19" s="7">
        <f t="shared" si="7"/>
        <v>158</v>
      </c>
      <c r="X19" s="13">
        <f t="shared" si="8"/>
        <v>1.0914351851851852E-2</v>
      </c>
      <c r="Y19" s="7">
        <f t="shared" si="9"/>
        <v>13</v>
      </c>
      <c r="Z19" s="7">
        <f>VLOOKUP(Y19,'Место-баллы'!$A$3:$E$52,2,0)</f>
        <v>61</v>
      </c>
      <c r="AA19" s="10"/>
      <c r="AB19" s="7"/>
      <c r="AC19" s="7"/>
      <c r="AD19" s="7">
        <v>0</v>
      </c>
      <c r="AE19" s="10"/>
      <c r="AF19" s="7"/>
      <c r="AG19" s="7"/>
      <c r="AH19" s="7">
        <v>0</v>
      </c>
    </row>
    <row r="20" spans="2:34" x14ac:dyDescent="0.25">
      <c r="B20" s="7">
        <v>13</v>
      </c>
      <c r="C20" s="7">
        <f t="shared" si="1"/>
        <v>120</v>
      </c>
      <c r="D20" s="7">
        <f>VLOOKUP(B20,'Место-баллы'!$A$3:$E$52,5,0)</f>
        <v>34</v>
      </c>
      <c r="E20" s="10"/>
      <c r="F20" s="10" t="s">
        <v>52</v>
      </c>
      <c r="G20" s="10" t="s">
        <v>53</v>
      </c>
      <c r="H20" s="15"/>
      <c r="I20" s="10"/>
      <c r="J20" s="7">
        <v>4</v>
      </c>
      <c r="K20" s="7">
        <v>31</v>
      </c>
      <c r="L20" s="13">
        <f t="shared" si="2"/>
        <v>3.1365740740740742E-3</v>
      </c>
      <c r="M20" s="7">
        <v>150</v>
      </c>
      <c r="N20" s="7">
        <f t="shared" si="3"/>
        <v>0</v>
      </c>
      <c r="O20" s="13">
        <f t="shared" si="4"/>
        <v>3.1365740740740742E-3</v>
      </c>
      <c r="P20" s="7">
        <f t="shared" si="5"/>
        <v>13</v>
      </c>
      <c r="Q20" s="7">
        <f>VLOOKUP(P20,'Место-баллы'!$A$3:$E$52,2,0)</f>
        <v>61</v>
      </c>
      <c r="R20" s="10"/>
      <c r="S20" s="7">
        <v>13</v>
      </c>
      <c r="T20" s="7">
        <v>5</v>
      </c>
      <c r="U20" s="13">
        <f t="shared" si="6"/>
        <v>9.0856481481481483E-3</v>
      </c>
      <c r="V20" s="7">
        <f>1130+811</f>
        <v>1941</v>
      </c>
      <c r="W20" s="7">
        <f t="shared" si="7"/>
        <v>189</v>
      </c>
      <c r="X20" s="13">
        <f t="shared" si="8"/>
        <v>1.1273148148148148E-2</v>
      </c>
      <c r="Y20" s="7">
        <f t="shared" si="9"/>
        <v>14</v>
      </c>
      <c r="Z20" s="7">
        <f>VLOOKUP(Y20,'Место-баллы'!$A$3:$E$52,2,0)</f>
        <v>59</v>
      </c>
      <c r="AA20" s="10"/>
      <c r="AB20" s="7"/>
      <c r="AC20" s="7"/>
      <c r="AD20" s="7">
        <v>0</v>
      </c>
      <c r="AE20" s="10"/>
      <c r="AF20" s="7"/>
      <c r="AG20" s="7"/>
      <c r="AH20" s="7">
        <v>0</v>
      </c>
    </row>
    <row r="21" spans="2:34" x14ac:dyDescent="0.25">
      <c r="B21" s="7">
        <f>RANK(C21,C$8:C$28,0)</f>
        <v>14</v>
      </c>
      <c r="C21" s="7">
        <f t="shared" si="1"/>
        <v>114</v>
      </c>
      <c r="D21" s="7">
        <f>VLOOKUP(B21,'Место-баллы'!$A$3:$E$52,5,0)</f>
        <v>33</v>
      </c>
      <c r="E21" s="10"/>
      <c r="F21" s="10" t="s">
        <v>58</v>
      </c>
      <c r="G21" s="10" t="s">
        <v>59</v>
      </c>
      <c r="H21" s="15"/>
      <c r="I21" s="10"/>
      <c r="J21" s="7">
        <v>4</v>
      </c>
      <c r="K21" s="7">
        <v>26</v>
      </c>
      <c r="L21" s="13">
        <f t="shared" si="2"/>
        <v>3.0787037037037037E-3</v>
      </c>
      <c r="M21" s="7">
        <v>150</v>
      </c>
      <c r="N21" s="7">
        <f t="shared" si="3"/>
        <v>0</v>
      </c>
      <c r="O21" s="13">
        <f t="shared" si="4"/>
        <v>3.0787037037037037E-3</v>
      </c>
      <c r="P21" s="7">
        <f t="shared" si="5"/>
        <v>12</v>
      </c>
      <c r="Q21" s="7">
        <f>VLOOKUP(P21,'Место-баллы'!$A$3:$E$52,2,0)</f>
        <v>63</v>
      </c>
      <c r="R21" s="10"/>
      <c r="S21" s="7">
        <v>13</v>
      </c>
      <c r="T21" s="7">
        <v>5</v>
      </c>
      <c r="U21" s="13">
        <f t="shared" si="6"/>
        <v>9.0856481481481483E-3</v>
      </c>
      <c r="V21" s="7">
        <f>1130+626</f>
        <v>1756</v>
      </c>
      <c r="W21" s="7">
        <f t="shared" si="7"/>
        <v>374</v>
      </c>
      <c r="X21" s="13">
        <f t="shared" si="8"/>
        <v>1.3414351851851851E-2</v>
      </c>
      <c r="Y21" s="7">
        <f t="shared" si="9"/>
        <v>18</v>
      </c>
      <c r="Z21" s="7">
        <f>VLOOKUP(Y21,'Место-баллы'!$A$3:$E$52,2,0)</f>
        <v>51</v>
      </c>
      <c r="AA21" s="10"/>
      <c r="AB21" s="7"/>
      <c r="AC21" s="7"/>
      <c r="AD21" s="7">
        <v>0</v>
      </c>
      <c r="AE21" s="10"/>
      <c r="AF21" s="7"/>
      <c r="AG21" s="7"/>
      <c r="AH21" s="7">
        <v>0</v>
      </c>
    </row>
    <row r="22" spans="2:34" x14ac:dyDescent="0.25">
      <c r="B22" s="7">
        <f>RANK(C22,C$8:C$28,0)</f>
        <v>15</v>
      </c>
      <c r="C22" s="7">
        <f t="shared" si="1"/>
        <v>112</v>
      </c>
      <c r="D22" s="7">
        <f>VLOOKUP(B22,'Место-баллы'!$A$3:$E$52,5,0)</f>
        <v>32</v>
      </c>
      <c r="E22" s="10"/>
      <c r="F22" s="10" t="s">
        <v>71</v>
      </c>
      <c r="G22" s="10" t="s">
        <v>49</v>
      </c>
      <c r="H22" s="15"/>
      <c r="I22" s="10"/>
      <c r="J22" s="7">
        <v>5</v>
      </c>
      <c r="K22" s="7">
        <v>59</v>
      </c>
      <c r="L22" s="13">
        <f t="shared" si="2"/>
        <v>4.1550925925925922E-3</v>
      </c>
      <c r="M22" s="7">
        <v>150</v>
      </c>
      <c r="N22" s="7">
        <f t="shared" si="3"/>
        <v>0</v>
      </c>
      <c r="O22" s="13">
        <f t="shared" si="4"/>
        <v>4.1550925925925922E-3</v>
      </c>
      <c r="P22" s="7">
        <f t="shared" si="5"/>
        <v>20</v>
      </c>
      <c r="Q22" s="7">
        <f>VLOOKUP(P22,'Место-баллы'!$A$3:$E$52,2,0)</f>
        <v>47</v>
      </c>
      <c r="R22" s="10"/>
      <c r="S22" s="7">
        <v>13</v>
      </c>
      <c r="T22" s="7">
        <v>5</v>
      </c>
      <c r="U22" s="13">
        <f t="shared" si="6"/>
        <v>9.0856481481481483E-3</v>
      </c>
      <c r="V22" s="7">
        <f>1130+905</f>
        <v>2035</v>
      </c>
      <c r="W22" s="7">
        <f t="shared" si="7"/>
        <v>95</v>
      </c>
      <c r="X22" s="13">
        <f t="shared" si="8"/>
        <v>1.0185185185185186E-2</v>
      </c>
      <c r="Y22" s="7">
        <f t="shared" si="9"/>
        <v>11</v>
      </c>
      <c r="Z22" s="7">
        <f>VLOOKUP(Y22,'Место-баллы'!$A$3:$E$52,2,0)</f>
        <v>65</v>
      </c>
      <c r="AA22" s="10"/>
      <c r="AB22" s="7"/>
      <c r="AC22" s="7"/>
      <c r="AD22" s="7">
        <v>0</v>
      </c>
      <c r="AE22" s="10"/>
      <c r="AF22" s="7"/>
      <c r="AG22" s="7"/>
      <c r="AH22" s="7">
        <v>0</v>
      </c>
    </row>
    <row r="23" spans="2:34" x14ac:dyDescent="0.25">
      <c r="B23" s="7">
        <v>16</v>
      </c>
      <c r="C23" s="7">
        <f t="shared" si="1"/>
        <v>112</v>
      </c>
      <c r="D23" s="7">
        <f>VLOOKUP(B23,'Место-баллы'!$A$3:$E$52,5,0)</f>
        <v>31</v>
      </c>
      <c r="E23" s="10"/>
      <c r="F23" s="10" t="s">
        <v>70</v>
      </c>
      <c r="G23" s="10" t="s">
        <v>49</v>
      </c>
      <c r="H23" s="15"/>
      <c r="I23" s="10"/>
      <c r="J23" s="7">
        <v>5</v>
      </c>
      <c r="K23" s="7">
        <v>31</v>
      </c>
      <c r="L23" s="13">
        <f t="shared" si="2"/>
        <v>3.8310185185185183E-3</v>
      </c>
      <c r="M23" s="7">
        <v>150</v>
      </c>
      <c r="N23" s="7">
        <f t="shared" si="3"/>
        <v>0</v>
      </c>
      <c r="O23" s="13">
        <f t="shared" si="4"/>
        <v>3.8310185185185183E-3</v>
      </c>
      <c r="P23" s="7">
        <f t="shared" si="5"/>
        <v>19</v>
      </c>
      <c r="Q23" s="7">
        <f>VLOOKUP(P23,'Место-баллы'!$A$3:$E$52,2,0)</f>
        <v>49</v>
      </c>
      <c r="R23" s="10"/>
      <c r="S23" s="7">
        <v>13</v>
      </c>
      <c r="T23" s="7">
        <v>5</v>
      </c>
      <c r="U23" s="13">
        <f t="shared" si="6"/>
        <v>9.0856481481481483E-3</v>
      </c>
      <c r="V23" s="7">
        <f>1130+881</f>
        <v>2011</v>
      </c>
      <c r="W23" s="7">
        <f t="shared" si="7"/>
        <v>119</v>
      </c>
      <c r="X23" s="13">
        <f t="shared" si="8"/>
        <v>1.0462962962962962E-2</v>
      </c>
      <c r="Y23" s="7">
        <f t="shared" si="9"/>
        <v>12</v>
      </c>
      <c r="Z23" s="7">
        <f>VLOOKUP(Y23,'Место-баллы'!$A$3:$E$52,2,0)</f>
        <v>63</v>
      </c>
      <c r="AA23" s="10"/>
      <c r="AB23" s="7"/>
      <c r="AC23" s="7"/>
      <c r="AD23" s="7">
        <v>0</v>
      </c>
      <c r="AE23" s="10"/>
      <c r="AF23" s="7"/>
      <c r="AG23" s="7"/>
      <c r="AH23" s="7">
        <v>0</v>
      </c>
    </row>
    <row r="24" spans="2:34" x14ac:dyDescent="0.25">
      <c r="B24" s="7">
        <f>RANK(C24,C$8:C$28,0)</f>
        <v>17</v>
      </c>
      <c r="C24" s="7">
        <f t="shared" si="1"/>
        <v>110</v>
      </c>
      <c r="D24" s="7">
        <f>VLOOKUP(B24,'Место-баллы'!$A$3:$E$52,5,0)</f>
        <v>30</v>
      </c>
      <c r="E24" s="10"/>
      <c r="F24" s="10" t="s">
        <v>74</v>
      </c>
      <c r="G24" s="10" t="s">
        <v>49</v>
      </c>
      <c r="H24" s="15"/>
      <c r="I24" s="10"/>
      <c r="J24" s="7">
        <v>4</v>
      </c>
      <c r="K24" s="7">
        <v>59</v>
      </c>
      <c r="L24" s="13">
        <f t="shared" si="2"/>
        <v>3.460648148148148E-3</v>
      </c>
      <c r="M24" s="7">
        <v>150</v>
      </c>
      <c r="N24" s="7">
        <f t="shared" si="3"/>
        <v>0</v>
      </c>
      <c r="O24" s="13">
        <f t="shared" si="4"/>
        <v>3.460648148148148E-3</v>
      </c>
      <c r="P24" s="7">
        <f t="shared" si="5"/>
        <v>17</v>
      </c>
      <c r="Q24" s="7">
        <f>VLOOKUP(P24,'Место-баллы'!$A$3:$E$52,2,0)</f>
        <v>53</v>
      </c>
      <c r="R24" s="10"/>
      <c r="S24" s="7">
        <v>13</v>
      </c>
      <c r="T24" s="7">
        <v>5</v>
      </c>
      <c r="U24" s="13">
        <f t="shared" si="6"/>
        <v>9.0856481481481483E-3</v>
      </c>
      <c r="V24" s="7">
        <f>1130+803</f>
        <v>1933</v>
      </c>
      <c r="W24" s="7">
        <f t="shared" si="7"/>
        <v>197</v>
      </c>
      <c r="X24" s="13">
        <f t="shared" si="8"/>
        <v>1.136574074074074E-2</v>
      </c>
      <c r="Y24" s="7">
        <f t="shared" si="9"/>
        <v>15</v>
      </c>
      <c r="Z24" s="7">
        <f>VLOOKUP(Y24,'Место-баллы'!$A$3:$E$52,2,0)</f>
        <v>57</v>
      </c>
      <c r="AA24" s="10"/>
      <c r="AB24" s="7"/>
      <c r="AC24" s="7"/>
      <c r="AD24" s="7">
        <v>0</v>
      </c>
      <c r="AE24" s="10"/>
      <c r="AF24" s="7"/>
      <c r="AG24" s="7"/>
      <c r="AH24" s="7">
        <v>0</v>
      </c>
    </row>
    <row r="25" spans="2:34" x14ac:dyDescent="0.25">
      <c r="B25" s="7">
        <f>RANK(C25,C$8:C$28,0)</f>
        <v>18</v>
      </c>
      <c r="C25" s="7">
        <f t="shared" si="1"/>
        <v>108</v>
      </c>
      <c r="D25" s="7">
        <f>VLOOKUP(B25,'Место-баллы'!$A$3:$E$52,5,0)</f>
        <v>29</v>
      </c>
      <c r="E25" s="10"/>
      <c r="F25" s="10" t="s">
        <v>50</v>
      </c>
      <c r="G25" s="10" t="s">
        <v>49</v>
      </c>
      <c r="H25" s="15"/>
      <c r="I25" s="10"/>
      <c r="J25" s="7">
        <v>4</v>
      </c>
      <c r="K25" s="7">
        <v>46</v>
      </c>
      <c r="L25" s="13">
        <f t="shared" si="2"/>
        <v>3.3101851851851851E-3</v>
      </c>
      <c r="M25" s="7">
        <v>150</v>
      </c>
      <c r="N25" s="7">
        <f t="shared" si="3"/>
        <v>0</v>
      </c>
      <c r="O25" s="13">
        <f t="shared" si="4"/>
        <v>3.3101851851851851E-3</v>
      </c>
      <c r="P25" s="7">
        <f t="shared" si="5"/>
        <v>16</v>
      </c>
      <c r="Q25" s="7">
        <f>VLOOKUP(P25,'Место-баллы'!$A$3:$E$52,2,0)</f>
        <v>55</v>
      </c>
      <c r="R25" s="10"/>
      <c r="S25" s="7">
        <v>13</v>
      </c>
      <c r="T25" s="7">
        <v>5</v>
      </c>
      <c r="U25" s="13">
        <f t="shared" si="6"/>
        <v>9.0856481481481483E-3</v>
      </c>
      <c r="V25" s="7">
        <f>1130+728</f>
        <v>1858</v>
      </c>
      <c r="W25" s="7">
        <f t="shared" si="7"/>
        <v>272</v>
      </c>
      <c r="X25" s="13">
        <f t="shared" si="8"/>
        <v>1.2233796296296296E-2</v>
      </c>
      <c r="Y25" s="7">
        <f t="shared" si="9"/>
        <v>17</v>
      </c>
      <c r="Z25" s="7">
        <f>VLOOKUP(Y25,'Место-баллы'!$A$3:$E$52,2,0)</f>
        <v>53</v>
      </c>
      <c r="AA25" s="10"/>
      <c r="AB25" s="7"/>
      <c r="AC25" s="7"/>
      <c r="AD25" s="7">
        <v>0</v>
      </c>
      <c r="AE25" s="10"/>
      <c r="AF25" s="7"/>
      <c r="AG25" s="7"/>
      <c r="AH25" s="7">
        <v>0</v>
      </c>
    </row>
    <row r="26" spans="2:34" x14ac:dyDescent="0.25">
      <c r="B26" s="7">
        <f>RANK(C26,C$8:C$28,0)</f>
        <v>19</v>
      </c>
      <c r="C26" s="7">
        <f t="shared" si="1"/>
        <v>106</v>
      </c>
      <c r="D26" s="7">
        <f>VLOOKUP(B26,'Место-баллы'!$A$3:$E$52,5,0)</f>
        <v>28</v>
      </c>
      <c r="E26" s="10"/>
      <c r="F26" s="10" t="s">
        <v>72</v>
      </c>
      <c r="G26" s="10" t="s">
        <v>49</v>
      </c>
      <c r="H26" s="15"/>
      <c r="I26" s="10"/>
      <c r="J26" s="7">
        <v>4</v>
      </c>
      <c r="K26" s="7">
        <v>40</v>
      </c>
      <c r="L26" s="13">
        <f t="shared" si="2"/>
        <v>3.2407407407407406E-3</v>
      </c>
      <c r="M26" s="7">
        <v>150</v>
      </c>
      <c r="N26" s="7">
        <f t="shared" si="3"/>
        <v>0</v>
      </c>
      <c r="O26" s="13">
        <f t="shared" si="4"/>
        <v>3.2407407407407406E-3</v>
      </c>
      <c r="P26" s="7">
        <f t="shared" si="5"/>
        <v>15</v>
      </c>
      <c r="Q26" s="7">
        <f>VLOOKUP(P26,'Место-баллы'!$A$3:$E$52,2,0)</f>
        <v>57</v>
      </c>
      <c r="R26" s="10"/>
      <c r="S26" s="7">
        <v>13</v>
      </c>
      <c r="T26" s="7">
        <v>5</v>
      </c>
      <c r="U26" s="13">
        <f t="shared" si="6"/>
        <v>9.0856481481481483E-3</v>
      </c>
      <c r="V26" s="7">
        <f>1130+600</f>
        <v>1730</v>
      </c>
      <c r="W26" s="7">
        <f t="shared" si="7"/>
        <v>400</v>
      </c>
      <c r="X26" s="13">
        <f t="shared" si="8"/>
        <v>1.3715277777777778E-2</v>
      </c>
      <c r="Y26" s="7">
        <f t="shared" si="9"/>
        <v>19</v>
      </c>
      <c r="Z26" s="7">
        <f>VLOOKUP(Y26,'Место-баллы'!$A$3:$E$52,2,0)</f>
        <v>49</v>
      </c>
      <c r="AA26" s="10"/>
      <c r="AB26" s="7"/>
      <c r="AC26" s="7"/>
      <c r="AD26" s="7">
        <v>0</v>
      </c>
      <c r="AE26" s="10"/>
      <c r="AF26" s="7"/>
      <c r="AG26" s="7"/>
      <c r="AH26" s="7">
        <v>0</v>
      </c>
    </row>
    <row r="27" spans="2:34" x14ac:dyDescent="0.25">
      <c r="B27" s="7">
        <f>RANK(C27,C$8:C$28,0)</f>
        <v>20</v>
      </c>
      <c r="C27" s="7">
        <f t="shared" si="1"/>
        <v>92</v>
      </c>
      <c r="D27" s="7">
        <f>VLOOKUP(B27,'Место-баллы'!$A$3:$E$52,5,0)</f>
        <v>27</v>
      </c>
      <c r="E27" s="10"/>
      <c r="F27" s="10" t="s">
        <v>48</v>
      </c>
      <c r="G27" s="10" t="s">
        <v>49</v>
      </c>
      <c r="H27" s="15"/>
      <c r="I27" s="10"/>
      <c r="J27" s="7">
        <v>6</v>
      </c>
      <c r="K27" s="7">
        <v>18</v>
      </c>
      <c r="L27" s="13">
        <f t="shared" si="2"/>
        <v>4.3750000000000004E-3</v>
      </c>
      <c r="M27" s="7">
        <v>150</v>
      </c>
      <c r="N27" s="7">
        <f t="shared" si="3"/>
        <v>0</v>
      </c>
      <c r="O27" s="13">
        <f t="shared" si="4"/>
        <v>4.3750000000000004E-3</v>
      </c>
      <c r="P27" s="7">
        <f t="shared" si="5"/>
        <v>21</v>
      </c>
      <c r="Q27" s="7">
        <f>VLOOKUP(P27,'Место-баллы'!$A$3:$E$52,2,0)</f>
        <v>45</v>
      </c>
      <c r="R27" s="10"/>
      <c r="S27" s="7">
        <v>13</v>
      </c>
      <c r="T27" s="7">
        <v>5</v>
      </c>
      <c r="U27" s="13">
        <f t="shared" si="6"/>
        <v>9.0856481481481483E-3</v>
      </c>
      <c r="V27" s="7">
        <f>1130+463</f>
        <v>1593</v>
      </c>
      <c r="W27" s="7">
        <f t="shared" si="7"/>
        <v>537</v>
      </c>
      <c r="X27" s="13">
        <f t="shared" si="8"/>
        <v>1.5300925925925926E-2</v>
      </c>
      <c r="Y27" s="7">
        <f t="shared" si="9"/>
        <v>20</v>
      </c>
      <c r="Z27" s="7">
        <f>VLOOKUP(Y27,'Место-баллы'!$A$3:$E$52,2,0)</f>
        <v>47</v>
      </c>
      <c r="AA27" s="10"/>
      <c r="AB27" s="7"/>
      <c r="AC27" s="7"/>
      <c r="AD27" s="7">
        <v>0</v>
      </c>
      <c r="AE27" s="10"/>
      <c r="AF27" s="7"/>
      <c r="AG27" s="7"/>
      <c r="AH27" s="7">
        <v>0</v>
      </c>
    </row>
    <row r="28" spans="2:34" x14ac:dyDescent="0.25">
      <c r="B28" s="7">
        <f>RANK(C28,C$8:C$28,0)</f>
        <v>21</v>
      </c>
      <c r="C28" s="7">
        <f t="shared" si="1"/>
        <v>51</v>
      </c>
      <c r="D28" s="7">
        <f>VLOOKUP(B28,'Место-баллы'!$A$3:$E$52,5,0)</f>
        <v>26</v>
      </c>
      <c r="E28" s="10"/>
      <c r="F28" s="10" t="s">
        <v>60</v>
      </c>
      <c r="G28" s="10" t="s">
        <v>49</v>
      </c>
      <c r="H28" s="15"/>
      <c r="I28" s="10"/>
      <c r="J28" s="7">
        <v>5</v>
      </c>
      <c r="K28" s="7">
        <v>12</v>
      </c>
      <c r="L28" s="13">
        <f t="shared" si="2"/>
        <v>3.6111111111111109E-3</v>
      </c>
      <c r="M28" s="7">
        <v>150</v>
      </c>
      <c r="N28" s="7">
        <f t="shared" si="3"/>
        <v>0</v>
      </c>
      <c r="O28" s="13">
        <f t="shared" si="4"/>
        <v>3.6111111111111109E-3</v>
      </c>
      <c r="P28" s="7">
        <f t="shared" si="5"/>
        <v>18</v>
      </c>
      <c r="Q28" s="7">
        <f>VLOOKUP(P28,'Место-баллы'!$A$3:$E$52,2,0)</f>
        <v>51</v>
      </c>
      <c r="R28" s="10"/>
      <c r="S28" s="7"/>
      <c r="T28" s="7"/>
      <c r="U28" s="13"/>
      <c r="V28" s="7"/>
      <c r="W28" s="7"/>
      <c r="X28" s="13"/>
      <c r="Y28" s="7"/>
      <c r="Z28" s="7">
        <v>0</v>
      </c>
      <c r="AA28" s="10"/>
      <c r="AB28" s="7"/>
      <c r="AC28" s="7"/>
      <c r="AD28" s="7">
        <v>0</v>
      </c>
      <c r="AE28" s="10"/>
      <c r="AF28" s="7"/>
      <c r="AG28" s="7"/>
      <c r="AH28" s="7">
        <v>0</v>
      </c>
    </row>
    <row r="29" spans="2:34" ht="15.75" customHeight="1" x14ac:dyDescent="0.25"/>
    <row r="30" spans="2:34" ht="15.75" customHeight="1" x14ac:dyDescent="0.25"/>
    <row r="31" spans="2:34" ht="15.75" customHeight="1" x14ac:dyDescent="0.25"/>
    <row r="32" spans="2:3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</sheetData>
  <autoFilter ref="B7:AH7" xr:uid="{CD165616-7AE1-4645-A67D-8FF4F3B0327B}">
    <sortState xmlns:xlrd2="http://schemas.microsoft.com/office/spreadsheetml/2017/richdata2" ref="B8:AH28">
      <sortCondition ref="B7"/>
    </sortState>
  </autoFilter>
  <mergeCells count="6">
    <mergeCell ref="AB5:AD6"/>
    <mergeCell ref="B5:D6"/>
    <mergeCell ref="F5:H6"/>
    <mergeCell ref="J5:Q6"/>
    <mergeCell ref="AF5:AH6"/>
    <mergeCell ref="S5:Z6"/>
  </mergeCells>
  <conditionalFormatting sqref="F8:F28">
    <cfRule type="duplicateValues" dxfId="2" priority="4"/>
  </conditionalFormatting>
  <printOptions horizontalCentered="1" verticalCentered="1"/>
  <pageMargins left="0" right="0" top="0" bottom="0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8E26-DF6A-437F-90BA-33086C5AABB1}">
  <sheetPr>
    <pageSetUpPr fitToPage="1"/>
  </sheetPr>
  <dimension ref="B1:AH50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I14" sqref="AI14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26.140625" bestFit="1" customWidth="1"/>
    <col min="7" max="7" width="15" bestFit="1" customWidth="1"/>
    <col min="8" max="8" width="21" hidden="1" customWidth="1" outlineLevel="1"/>
    <col min="9" max="9" width="1.42578125" customWidth="1" collapsed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hidden="1" customWidth="1" outlineLevel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5.140625" hidden="1" customWidth="1" outlineLevel="1"/>
    <col min="20" max="20" width="4.28515625" hidden="1" customWidth="1" outlineLevel="1"/>
    <col min="21" max="21" width="7.140625" customWidth="1" collapsed="1"/>
    <col min="22" max="22" width="6.85546875" customWidth="1"/>
    <col min="23" max="23" width="7.85546875" hidden="1" customWidth="1" outlineLevel="1"/>
    <col min="24" max="24" width="7.140625" hidden="1" customWidth="1" outlineLevel="1"/>
    <col min="25" max="25" width="7.140625" customWidth="1" collapsed="1"/>
    <col min="26" max="26" width="6.85546875" customWidth="1"/>
    <col min="27" max="27" width="1.42578125" customWidth="1"/>
    <col min="28" max="28" width="7" customWidth="1"/>
    <col min="29" max="29" width="7.140625" customWidth="1"/>
    <col min="30" max="30" width="6.85546875" customWidth="1"/>
    <col min="31" max="31" width="1.42578125" customWidth="1"/>
    <col min="32" max="32" width="7" customWidth="1"/>
    <col min="33" max="33" width="7.140625" customWidth="1"/>
    <col min="34" max="34" width="6.85546875" customWidth="1"/>
  </cols>
  <sheetData>
    <row r="1" spans="2:34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3"/>
      <c r="V1" s="3"/>
      <c r="W1" s="3"/>
      <c r="X1" s="3"/>
      <c r="Y1" s="3"/>
      <c r="Z1" s="4">
        <v>1</v>
      </c>
      <c r="AB1" s="3"/>
      <c r="AC1" s="3"/>
      <c r="AD1" s="4">
        <v>1</v>
      </c>
      <c r="AF1" s="3"/>
      <c r="AG1" s="3"/>
      <c r="AH1" s="4">
        <v>1</v>
      </c>
    </row>
    <row r="2" spans="2:34" x14ac:dyDescent="0.25">
      <c r="F2" s="12"/>
      <c r="G2" s="12"/>
      <c r="H2" s="12"/>
      <c r="J2" s="3"/>
      <c r="K2" s="3"/>
      <c r="L2" s="3"/>
      <c r="M2" s="5">
        <v>150</v>
      </c>
      <c r="N2" s="3"/>
      <c r="O2" s="3"/>
      <c r="P2" s="3"/>
      <c r="Q2" s="3"/>
      <c r="S2" s="3"/>
      <c r="T2" s="3"/>
      <c r="U2" s="3"/>
      <c r="V2" s="5">
        <f>1000+50+30+50+1000</f>
        <v>2130</v>
      </c>
      <c r="W2" s="3"/>
      <c r="X2" s="3"/>
      <c r="Y2" s="3"/>
      <c r="Z2" s="3"/>
      <c r="AB2" s="3"/>
      <c r="AC2" s="3"/>
      <c r="AD2" s="3"/>
      <c r="AF2" s="3"/>
      <c r="AG2" s="3"/>
      <c r="AH2" s="3"/>
    </row>
    <row r="3" spans="2:34" x14ac:dyDescent="0.25">
      <c r="F3" s="12"/>
      <c r="G3" s="12"/>
      <c r="H3" s="12"/>
      <c r="J3" s="3"/>
      <c r="K3" s="3"/>
      <c r="L3" s="3"/>
      <c r="M3" s="6" t="s">
        <v>21</v>
      </c>
      <c r="N3" s="3"/>
      <c r="O3" s="3"/>
      <c r="P3" s="3"/>
      <c r="Q3" s="3"/>
      <c r="S3" s="3"/>
      <c r="T3" s="3"/>
      <c r="U3" s="3"/>
      <c r="V3" s="6" t="s">
        <v>42</v>
      </c>
      <c r="W3" s="3"/>
      <c r="X3" s="3"/>
      <c r="Y3" s="3"/>
      <c r="Z3" s="3"/>
      <c r="AB3" s="6"/>
      <c r="AC3" s="3"/>
      <c r="AD3" s="3"/>
      <c r="AF3" s="6"/>
      <c r="AG3" s="3"/>
      <c r="AH3" s="3"/>
    </row>
    <row r="4" spans="2:34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F4" s="3"/>
      <c r="AG4" s="3"/>
      <c r="AH4" s="3"/>
    </row>
    <row r="5" spans="2:34" ht="15" customHeight="1" x14ac:dyDescent="0.25">
      <c r="B5" s="24" t="s">
        <v>4</v>
      </c>
      <c r="C5" s="25"/>
      <c r="D5" s="26"/>
      <c r="E5" s="7"/>
      <c r="F5" s="24" t="s">
        <v>43</v>
      </c>
      <c r="G5" s="25"/>
      <c r="H5" s="26"/>
      <c r="I5" s="7"/>
      <c r="J5" s="24" t="s">
        <v>16</v>
      </c>
      <c r="K5" s="25"/>
      <c r="L5" s="25"/>
      <c r="M5" s="25"/>
      <c r="N5" s="25"/>
      <c r="O5" s="25"/>
      <c r="P5" s="25"/>
      <c r="Q5" s="26"/>
      <c r="R5" s="7"/>
      <c r="S5" s="24" t="s">
        <v>19</v>
      </c>
      <c r="T5" s="25"/>
      <c r="U5" s="25"/>
      <c r="V5" s="25"/>
      <c r="W5" s="25"/>
      <c r="X5" s="25"/>
      <c r="Y5" s="25"/>
      <c r="Z5" s="26"/>
      <c r="AA5" s="7"/>
      <c r="AB5" s="25" t="s">
        <v>35</v>
      </c>
      <c r="AC5" s="25"/>
      <c r="AD5" s="26"/>
      <c r="AE5" s="7"/>
      <c r="AF5" s="25" t="s">
        <v>36</v>
      </c>
      <c r="AG5" s="25"/>
      <c r="AH5" s="26"/>
    </row>
    <row r="6" spans="2:34" x14ac:dyDescent="0.25">
      <c r="B6" s="27"/>
      <c r="C6" s="28"/>
      <c r="D6" s="29"/>
      <c r="E6" s="8"/>
      <c r="F6" s="27"/>
      <c r="G6" s="28"/>
      <c r="H6" s="29"/>
      <c r="I6" s="8"/>
      <c r="J6" s="27"/>
      <c r="K6" s="28"/>
      <c r="L6" s="28"/>
      <c r="M6" s="28"/>
      <c r="N6" s="28"/>
      <c r="O6" s="28"/>
      <c r="P6" s="28"/>
      <c r="Q6" s="29"/>
      <c r="R6" s="8"/>
      <c r="S6" s="27"/>
      <c r="T6" s="28"/>
      <c r="U6" s="28"/>
      <c r="V6" s="28"/>
      <c r="W6" s="28"/>
      <c r="X6" s="28"/>
      <c r="Y6" s="28"/>
      <c r="Z6" s="29"/>
      <c r="AA6" s="8"/>
      <c r="AB6" s="28"/>
      <c r="AC6" s="28"/>
      <c r="AD6" s="29"/>
      <c r="AE6" s="8"/>
      <c r="AF6" s="28"/>
      <c r="AG6" s="28"/>
      <c r="AH6" s="29"/>
    </row>
    <row r="7" spans="2:34" ht="25.5" x14ac:dyDescent="0.25">
      <c r="B7" s="16" t="s">
        <v>6</v>
      </c>
      <c r="C7" s="16" t="s">
        <v>7</v>
      </c>
      <c r="D7" s="11" t="s">
        <v>17</v>
      </c>
      <c r="E7" s="9"/>
      <c r="F7" s="14" t="s">
        <v>26</v>
      </c>
      <c r="G7" s="14" t="s">
        <v>24</v>
      </c>
      <c r="H7" s="14" t="s">
        <v>18</v>
      </c>
      <c r="I7" s="9"/>
      <c r="J7" s="11" t="s">
        <v>9</v>
      </c>
      <c r="K7" s="11" t="s">
        <v>10</v>
      </c>
      <c r="L7" s="11" t="s">
        <v>11</v>
      </c>
      <c r="M7" s="16" t="s">
        <v>14</v>
      </c>
      <c r="N7" s="11" t="s">
        <v>15</v>
      </c>
      <c r="O7" s="11" t="s">
        <v>11</v>
      </c>
      <c r="P7" s="11" t="s">
        <v>12</v>
      </c>
      <c r="Q7" s="11" t="s">
        <v>13</v>
      </c>
      <c r="R7" s="9"/>
      <c r="S7" s="11" t="s">
        <v>9</v>
      </c>
      <c r="T7" s="11" t="s">
        <v>10</v>
      </c>
      <c r="U7" s="11" t="s">
        <v>11</v>
      </c>
      <c r="V7" s="16" t="s">
        <v>14</v>
      </c>
      <c r="W7" s="11" t="s">
        <v>15</v>
      </c>
      <c r="X7" s="11" t="s">
        <v>11</v>
      </c>
      <c r="Y7" s="11" t="s">
        <v>12</v>
      </c>
      <c r="Z7" s="11" t="s">
        <v>13</v>
      </c>
      <c r="AA7" s="9"/>
      <c r="AB7" s="16" t="s">
        <v>14</v>
      </c>
      <c r="AC7" s="11" t="s">
        <v>12</v>
      </c>
      <c r="AD7" s="11" t="s">
        <v>13</v>
      </c>
      <c r="AE7" s="9"/>
      <c r="AF7" s="16" t="s">
        <v>14</v>
      </c>
      <c r="AG7" s="11" t="s">
        <v>12</v>
      </c>
      <c r="AH7" s="11" t="s">
        <v>13</v>
      </c>
    </row>
    <row r="8" spans="2:34" x14ac:dyDescent="0.25">
      <c r="B8" s="7">
        <f t="shared" ref="B8:B18" si="0">RANK(C8,C$8:C$18,0)</f>
        <v>1</v>
      </c>
      <c r="C8" s="7">
        <f t="shared" ref="C8:C18" si="1">SUMIF($I$1:$AH$1,1,$I8:$AH8)</f>
        <v>380</v>
      </c>
      <c r="D8" s="7">
        <f>VLOOKUP(B8,'Место-баллы'!$A$3:$E$52,5,0)</f>
        <v>50</v>
      </c>
      <c r="E8" s="10"/>
      <c r="F8" s="10" t="s">
        <v>76</v>
      </c>
      <c r="G8" s="10" t="s">
        <v>77</v>
      </c>
      <c r="H8" s="15"/>
      <c r="I8" s="10"/>
      <c r="J8" s="7">
        <v>3</v>
      </c>
      <c r="K8" s="7">
        <v>14</v>
      </c>
      <c r="L8" s="13">
        <f t="shared" ref="L8:L18" si="2">TIME(0,J8,K8)</f>
        <v>2.2453703703703702E-3</v>
      </c>
      <c r="M8" s="7">
        <v>150</v>
      </c>
      <c r="N8" s="7">
        <f t="shared" ref="N8:N18" si="3">M$2-M8</f>
        <v>0</v>
      </c>
      <c r="O8" s="13">
        <f t="shared" ref="O8:O18" si="4">L8+TIME(0,0,N8)</f>
        <v>2.2453703703703702E-3</v>
      </c>
      <c r="P8" s="7">
        <f t="shared" ref="P8:P18" si="5">RANK(O8,O$8:O$18,1)</f>
        <v>3</v>
      </c>
      <c r="Q8" s="7">
        <f>VLOOKUP(P8,'Место-баллы'!$A$3:$E$52,2,0)</f>
        <v>90</v>
      </c>
      <c r="R8" s="10"/>
      <c r="S8" s="7">
        <v>11</v>
      </c>
      <c r="T8" s="7">
        <v>23</v>
      </c>
      <c r="U8" s="13">
        <f t="shared" ref="U8:U18" si="6">TIME(0,S8,T8)</f>
        <v>7.905092592592592E-3</v>
      </c>
      <c r="V8" s="7">
        <v>2130</v>
      </c>
      <c r="W8" s="7">
        <f t="shared" ref="W8:W18" si="7">V$2-V8</f>
        <v>0</v>
      </c>
      <c r="X8" s="13">
        <f t="shared" ref="X8:X18" si="8">U8+TIME(0,0,W8)</f>
        <v>7.905092592592592E-3</v>
      </c>
      <c r="Y8" s="7">
        <f t="shared" ref="Y8:Y18" si="9">RANK(X8,X$8:X$18,1)</f>
        <v>1</v>
      </c>
      <c r="Z8" s="7">
        <f>VLOOKUP(Y8,'Место-баллы'!$A$3:$E$52,2,0)</f>
        <v>100</v>
      </c>
      <c r="AA8" s="10"/>
      <c r="AB8" s="7">
        <f>50+30+37+27</f>
        <v>144</v>
      </c>
      <c r="AC8" s="7">
        <f t="shared" ref="AC8:AC15" si="10">RANK(AB8,AB$8:AB$18,0)</f>
        <v>2</v>
      </c>
      <c r="AD8" s="7">
        <f>VLOOKUP(AC8,'Место-баллы'!$A$3:$E$52,2,0)</f>
        <v>95</v>
      </c>
      <c r="AE8" s="10"/>
      <c r="AF8" s="7">
        <f>27+18+26+19</f>
        <v>90</v>
      </c>
      <c r="AG8" s="7">
        <f t="shared" ref="AG8:AG15" si="11">RANK(AF8,AF$8:AF$18,0)</f>
        <v>2</v>
      </c>
      <c r="AH8" s="7">
        <f>VLOOKUP(AG8,'Место-баллы'!$A$3:$E$52,2,0)</f>
        <v>95</v>
      </c>
    </row>
    <row r="9" spans="2:34" x14ac:dyDescent="0.25">
      <c r="B9" s="7">
        <f t="shared" si="0"/>
        <v>2</v>
      </c>
      <c r="C9" s="7">
        <f t="shared" si="1"/>
        <v>365</v>
      </c>
      <c r="D9" s="7">
        <f>VLOOKUP(B9,'Место-баллы'!$A$3:$E$52,5,0)</f>
        <v>48</v>
      </c>
      <c r="E9" s="10"/>
      <c r="F9" s="10" t="s">
        <v>81</v>
      </c>
      <c r="G9" s="10" t="s">
        <v>82</v>
      </c>
      <c r="H9" s="15"/>
      <c r="I9" s="10"/>
      <c r="J9" s="7">
        <v>3</v>
      </c>
      <c r="K9" s="7">
        <v>11</v>
      </c>
      <c r="L9" s="13">
        <f t="shared" si="2"/>
        <v>2.2106481481481482E-3</v>
      </c>
      <c r="M9" s="7">
        <v>150</v>
      </c>
      <c r="N9" s="7">
        <f t="shared" si="3"/>
        <v>0</v>
      </c>
      <c r="O9" s="13">
        <f t="shared" si="4"/>
        <v>2.2106481481481482E-3</v>
      </c>
      <c r="P9" s="7">
        <f t="shared" si="5"/>
        <v>2</v>
      </c>
      <c r="Q9" s="7">
        <f>VLOOKUP(P9,'Место-баллы'!$A$3:$E$52,2,0)</f>
        <v>95</v>
      </c>
      <c r="R9" s="10"/>
      <c r="S9" s="7">
        <v>12</v>
      </c>
      <c r="T9" s="7">
        <v>23</v>
      </c>
      <c r="U9" s="13">
        <f t="shared" si="6"/>
        <v>8.5995370370370375E-3</v>
      </c>
      <c r="V9" s="7">
        <v>2130</v>
      </c>
      <c r="W9" s="7">
        <f t="shared" si="7"/>
        <v>0</v>
      </c>
      <c r="X9" s="13">
        <f t="shared" si="8"/>
        <v>8.5995370370370375E-3</v>
      </c>
      <c r="Y9" s="7">
        <f t="shared" si="9"/>
        <v>4</v>
      </c>
      <c r="Z9" s="7">
        <f>VLOOKUP(Y9,'Место-баллы'!$A$3:$E$52,2,0)</f>
        <v>85</v>
      </c>
      <c r="AA9" s="10"/>
      <c r="AB9" s="7">
        <f>40+28+34+20</f>
        <v>122</v>
      </c>
      <c r="AC9" s="7">
        <f t="shared" si="10"/>
        <v>4</v>
      </c>
      <c r="AD9" s="7">
        <f>VLOOKUP(AC9,'Место-баллы'!$A$3:$E$52,2,0)</f>
        <v>85</v>
      </c>
      <c r="AE9" s="10"/>
      <c r="AF9" s="7">
        <f>25+21+26+20</f>
        <v>92</v>
      </c>
      <c r="AG9" s="7">
        <f t="shared" si="11"/>
        <v>1</v>
      </c>
      <c r="AH9" s="7">
        <f>VLOOKUP(AG9,'Место-баллы'!$A$3:$E$52,2,0)</f>
        <v>100</v>
      </c>
    </row>
    <row r="10" spans="2:34" x14ac:dyDescent="0.25">
      <c r="B10" s="7">
        <f t="shared" si="0"/>
        <v>3</v>
      </c>
      <c r="C10" s="7">
        <f t="shared" si="1"/>
        <v>355</v>
      </c>
      <c r="D10" s="7">
        <f>VLOOKUP(B10,'Место-баллы'!$A$3:$E$52,5,0)</f>
        <v>46</v>
      </c>
      <c r="E10" s="10"/>
      <c r="F10" s="10" t="s">
        <v>86</v>
      </c>
      <c r="G10" s="10" t="s">
        <v>49</v>
      </c>
      <c r="H10" s="15"/>
      <c r="I10" s="10"/>
      <c r="J10" s="7">
        <v>3</v>
      </c>
      <c r="K10" s="7">
        <v>9</v>
      </c>
      <c r="L10" s="13">
        <f t="shared" si="2"/>
        <v>2.1875000000000002E-3</v>
      </c>
      <c r="M10" s="7">
        <v>150</v>
      </c>
      <c r="N10" s="7">
        <f t="shared" si="3"/>
        <v>0</v>
      </c>
      <c r="O10" s="13">
        <f t="shared" si="4"/>
        <v>2.1875000000000002E-3</v>
      </c>
      <c r="P10" s="7">
        <f t="shared" si="5"/>
        <v>1</v>
      </c>
      <c r="Q10" s="7">
        <f>VLOOKUP(P10,'Место-баллы'!$A$3:$E$52,2,0)</f>
        <v>100</v>
      </c>
      <c r="R10" s="10"/>
      <c r="S10" s="7">
        <v>11</v>
      </c>
      <c r="T10" s="7">
        <v>51</v>
      </c>
      <c r="U10" s="13">
        <f t="shared" si="6"/>
        <v>8.2291666666666659E-3</v>
      </c>
      <c r="V10" s="7">
        <v>2130</v>
      </c>
      <c r="W10" s="7">
        <f t="shared" si="7"/>
        <v>0</v>
      </c>
      <c r="X10" s="13">
        <f t="shared" si="8"/>
        <v>8.2291666666666659E-3</v>
      </c>
      <c r="Y10" s="7">
        <f t="shared" si="9"/>
        <v>3</v>
      </c>
      <c r="Z10" s="7">
        <f>VLOOKUP(Y10,'Место-баллы'!$A$3:$E$52,2,0)</f>
        <v>90</v>
      </c>
      <c r="AA10" s="10"/>
      <c r="AB10" s="7">
        <f>37+29+25+24</f>
        <v>115</v>
      </c>
      <c r="AC10" s="7">
        <f t="shared" si="10"/>
        <v>6</v>
      </c>
      <c r="AD10" s="7">
        <f>VLOOKUP(AC10,'Место-баллы'!$A$3:$E$52,2,0)</f>
        <v>75</v>
      </c>
      <c r="AE10" s="10"/>
      <c r="AF10" s="7">
        <f>21+16+21+18</f>
        <v>76</v>
      </c>
      <c r="AG10" s="7">
        <f t="shared" si="11"/>
        <v>3</v>
      </c>
      <c r="AH10" s="7">
        <f>VLOOKUP(AG10,'Место-баллы'!$A$3:$E$52,2,0)</f>
        <v>90</v>
      </c>
    </row>
    <row r="11" spans="2:34" x14ac:dyDescent="0.25">
      <c r="B11" s="7">
        <f t="shared" si="0"/>
        <v>4</v>
      </c>
      <c r="C11" s="7">
        <f t="shared" si="1"/>
        <v>350</v>
      </c>
      <c r="D11" s="7">
        <f>VLOOKUP(B11,'Место-баллы'!$A$3:$E$52,5,0)</f>
        <v>44</v>
      </c>
      <c r="E11" s="10"/>
      <c r="F11" s="10" t="s">
        <v>75</v>
      </c>
      <c r="G11" s="10" t="s">
        <v>49</v>
      </c>
      <c r="H11" s="15"/>
      <c r="I11" s="10"/>
      <c r="J11" s="7">
        <v>3</v>
      </c>
      <c r="K11" s="7">
        <v>16</v>
      </c>
      <c r="L11" s="13">
        <f t="shared" si="2"/>
        <v>2.2685185185185187E-3</v>
      </c>
      <c r="M11" s="7">
        <v>150</v>
      </c>
      <c r="N11" s="7">
        <f t="shared" si="3"/>
        <v>0</v>
      </c>
      <c r="O11" s="13">
        <f t="shared" si="4"/>
        <v>2.2685185185185187E-3</v>
      </c>
      <c r="P11" s="7">
        <f t="shared" si="5"/>
        <v>4</v>
      </c>
      <c r="Q11" s="7">
        <f>VLOOKUP(P11,'Место-баллы'!$A$3:$E$52,2,0)</f>
        <v>85</v>
      </c>
      <c r="R11" s="10"/>
      <c r="S11" s="7">
        <v>12</v>
      </c>
      <c r="T11" s="7">
        <v>28</v>
      </c>
      <c r="U11" s="13">
        <f t="shared" si="6"/>
        <v>8.6574074074074071E-3</v>
      </c>
      <c r="V11" s="7">
        <v>2130</v>
      </c>
      <c r="W11" s="7">
        <f t="shared" si="7"/>
        <v>0</v>
      </c>
      <c r="X11" s="13">
        <f t="shared" si="8"/>
        <v>8.6574074074074071E-3</v>
      </c>
      <c r="Y11" s="7">
        <f t="shared" si="9"/>
        <v>5</v>
      </c>
      <c r="Z11" s="7">
        <f>VLOOKUP(Y11,'Место-баллы'!$A$3:$E$52,2,0)</f>
        <v>80</v>
      </c>
      <c r="AA11" s="10"/>
      <c r="AB11" s="7">
        <f>47+24+51+24</f>
        <v>146</v>
      </c>
      <c r="AC11" s="7">
        <f t="shared" si="10"/>
        <v>1</v>
      </c>
      <c r="AD11" s="7">
        <f>VLOOKUP(AC11,'Место-баллы'!$A$3:$E$52,2,0)</f>
        <v>100</v>
      </c>
      <c r="AE11" s="10"/>
      <c r="AF11" s="7">
        <f>26+10+27+12</f>
        <v>75</v>
      </c>
      <c r="AG11" s="7">
        <f t="shared" si="11"/>
        <v>4</v>
      </c>
      <c r="AH11" s="7">
        <f>VLOOKUP(AG11,'Место-баллы'!$A$3:$E$52,2,0)</f>
        <v>85</v>
      </c>
    </row>
    <row r="12" spans="2:34" x14ac:dyDescent="0.25">
      <c r="B12" s="7">
        <f t="shared" si="0"/>
        <v>5</v>
      </c>
      <c r="C12" s="7">
        <f t="shared" si="1"/>
        <v>330</v>
      </c>
      <c r="D12" s="7">
        <f>VLOOKUP(B12,'Место-баллы'!$A$3:$E$52,5,0)</f>
        <v>42</v>
      </c>
      <c r="E12" s="10"/>
      <c r="F12" s="10" t="s">
        <v>78</v>
      </c>
      <c r="G12" s="10" t="s">
        <v>78</v>
      </c>
      <c r="H12" s="15"/>
      <c r="I12" s="10"/>
      <c r="J12" s="7">
        <v>3</v>
      </c>
      <c r="K12" s="7">
        <v>50</v>
      </c>
      <c r="L12" s="13">
        <f t="shared" si="2"/>
        <v>2.662037037037037E-3</v>
      </c>
      <c r="M12" s="7">
        <v>150</v>
      </c>
      <c r="N12" s="7">
        <f t="shared" si="3"/>
        <v>0</v>
      </c>
      <c r="O12" s="13">
        <f t="shared" si="4"/>
        <v>2.662037037037037E-3</v>
      </c>
      <c r="P12" s="7">
        <f t="shared" si="5"/>
        <v>6</v>
      </c>
      <c r="Q12" s="7">
        <f>VLOOKUP(P12,'Место-баллы'!$A$3:$E$52,2,0)</f>
        <v>75</v>
      </c>
      <c r="R12" s="10"/>
      <c r="S12" s="7">
        <v>11</v>
      </c>
      <c r="T12" s="7">
        <v>46</v>
      </c>
      <c r="U12" s="13">
        <f t="shared" si="6"/>
        <v>8.1712962962962963E-3</v>
      </c>
      <c r="V12" s="7">
        <v>2130</v>
      </c>
      <c r="W12" s="7">
        <f t="shared" si="7"/>
        <v>0</v>
      </c>
      <c r="X12" s="13">
        <f t="shared" si="8"/>
        <v>8.1712962962962963E-3</v>
      </c>
      <c r="Y12" s="7">
        <f t="shared" si="9"/>
        <v>2</v>
      </c>
      <c r="Z12" s="7">
        <f>VLOOKUP(Y12,'Место-баллы'!$A$3:$E$52,2,0)</f>
        <v>95</v>
      </c>
      <c r="AA12" s="10"/>
      <c r="AB12" s="7">
        <f>30+30+30+28</f>
        <v>118</v>
      </c>
      <c r="AC12" s="7">
        <f t="shared" si="10"/>
        <v>5</v>
      </c>
      <c r="AD12" s="7">
        <f>VLOOKUP(AC12,'Место-баллы'!$A$3:$E$52,2,0)</f>
        <v>80</v>
      </c>
      <c r="AE12" s="10"/>
      <c r="AF12" s="7">
        <f>15+18+12+19</f>
        <v>64</v>
      </c>
      <c r="AG12" s="7">
        <f t="shared" si="11"/>
        <v>5</v>
      </c>
      <c r="AH12" s="7">
        <f>VLOOKUP(AG12,'Место-баллы'!$A$3:$E$52,2,0)</f>
        <v>80</v>
      </c>
    </row>
    <row r="13" spans="2:34" x14ac:dyDescent="0.25">
      <c r="B13" s="7">
        <f t="shared" si="0"/>
        <v>6</v>
      </c>
      <c r="C13" s="7">
        <f t="shared" si="1"/>
        <v>318</v>
      </c>
      <c r="D13" s="7">
        <f>VLOOKUP(B13,'Место-баллы'!$A$3:$E$52,5,0)</f>
        <v>41</v>
      </c>
      <c r="E13" s="10"/>
      <c r="F13" s="10" t="s">
        <v>89</v>
      </c>
      <c r="G13" s="10" t="s">
        <v>59</v>
      </c>
      <c r="H13" s="15"/>
      <c r="I13" s="10"/>
      <c r="J13" s="7">
        <v>3</v>
      </c>
      <c r="K13" s="7">
        <v>45</v>
      </c>
      <c r="L13" s="13">
        <f t="shared" si="2"/>
        <v>2.6041666666666665E-3</v>
      </c>
      <c r="M13" s="7">
        <v>150</v>
      </c>
      <c r="N13" s="7">
        <f t="shared" si="3"/>
        <v>0</v>
      </c>
      <c r="O13" s="13">
        <f t="shared" si="4"/>
        <v>2.6041666666666665E-3</v>
      </c>
      <c r="P13" s="7">
        <f t="shared" si="5"/>
        <v>5</v>
      </c>
      <c r="Q13" s="7">
        <f>VLOOKUP(P13,'Место-баллы'!$A$3:$E$52,2,0)</f>
        <v>80</v>
      </c>
      <c r="R13" s="10"/>
      <c r="S13" s="7">
        <v>12</v>
      </c>
      <c r="T13" s="7">
        <v>38</v>
      </c>
      <c r="U13" s="13">
        <f t="shared" si="6"/>
        <v>8.773148148148148E-3</v>
      </c>
      <c r="V13" s="7">
        <v>2130</v>
      </c>
      <c r="W13" s="7">
        <f t="shared" si="7"/>
        <v>0</v>
      </c>
      <c r="X13" s="13">
        <f t="shared" si="8"/>
        <v>8.773148148148148E-3</v>
      </c>
      <c r="Y13" s="7">
        <f t="shared" si="9"/>
        <v>7</v>
      </c>
      <c r="Z13" s="7">
        <f>VLOOKUP(Y13,'Место-баллы'!$A$3:$E$52,2,0)</f>
        <v>73</v>
      </c>
      <c r="AA13" s="10"/>
      <c r="AB13" s="7">
        <f>48+32+24+22</f>
        <v>126</v>
      </c>
      <c r="AC13" s="7">
        <f t="shared" si="10"/>
        <v>3</v>
      </c>
      <c r="AD13" s="7">
        <f>VLOOKUP(AC13,'Место-баллы'!$A$3:$E$52,2,0)</f>
        <v>90</v>
      </c>
      <c r="AE13" s="10"/>
      <c r="AF13" s="7">
        <f>17+17+12+13</f>
        <v>59</v>
      </c>
      <c r="AG13" s="7">
        <f t="shared" si="11"/>
        <v>6</v>
      </c>
      <c r="AH13" s="7">
        <f>VLOOKUP(AG13,'Место-баллы'!$A$3:$E$52,2,0)</f>
        <v>75</v>
      </c>
    </row>
    <row r="14" spans="2:34" x14ac:dyDescent="0.25">
      <c r="B14" s="7">
        <f t="shared" si="0"/>
        <v>7</v>
      </c>
      <c r="C14" s="7">
        <f t="shared" si="1"/>
        <v>292</v>
      </c>
      <c r="D14" s="7">
        <f>VLOOKUP(B14,'Место-баллы'!$A$3:$E$52,5,0)</f>
        <v>40</v>
      </c>
      <c r="E14" s="10"/>
      <c r="F14" s="10" t="s">
        <v>88</v>
      </c>
      <c r="G14" s="10" t="s">
        <v>59</v>
      </c>
      <c r="H14" s="15"/>
      <c r="I14" s="10"/>
      <c r="J14" s="7">
        <v>4</v>
      </c>
      <c r="K14" s="7">
        <v>26</v>
      </c>
      <c r="L14" s="13">
        <f t="shared" si="2"/>
        <v>3.0787037037037037E-3</v>
      </c>
      <c r="M14" s="7">
        <v>150</v>
      </c>
      <c r="N14" s="7">
        <f t="shared" si="3"/>
        <v>0</v>
      </c>
      <c r="O14" s="13">
        <f t="shared" si="4"/>
        <v>3.0787037037037037E-3</v>
      </c>
      <c r="P14" s="7">
        <f t="shared" si="5"/>
        <v>9</v>
      </c>
      <c r="Q14" s="7">
        <f>VLOOKUP(P14,'Место-баллы'!$A$3:$E$52,2,0)</f>
        <v>69</v>
      </c>
      <c r="R14" s="10"/>
      <c r="S14" s="7">
        <v>12</v>
      </c>
      <c r="T14" s="7">
        <v>36</v>
      </c>
      <c r="U14" s="13">
        <f t="shared" si="6"/>
        <v>8.7500000000000008E-3</v>
      </c>
      <c r="V14" s="7">
        <v>2130</v>
      </c>
      <c r="W14" s="7">
        <f t="shared" si="7"/>
        <v>0</v>
      </c>
      <c r="X14" s="13">
        <f t="shared" si="8"/>
        <v>8.7500000000000008E-3</v>
      </c>
      <c r="Y14" s="7">
        <f t="shared" si="9"/>
        <v>6</v>
      </c>
      <c r="Z14" s="7">
        <f>VLOOKUP(Y14,'Место-баллы'!$A$3:$E$52,2,0)</f>
        <v>75</v>
      </c>
      <c r="AA14" s="10"/>
      <c r="AB14" s="7">
        <f>27+25+32+24</f>
        <v>108</v>
      </c>
      <c r="AC14" s="7">
        <f t="shared" si="10"/>
        <v>7</v>
      </c>
      <c r="AD14" s="7">
        <f>VLOOKUP(AC14,'Место-баллы'!$A$3:$E$52,2,0)</f>
        <v>73</v>
      </c>
      <c r="AE14" s="10"/>
      <c r="AF14" s="7">
        <f>15+10+23+11</f>
        <v>59</v>
      </c>
      <c r="AG14" s="7">
        <f t="shared" si="11"/>
        <v>6</v>
      </c>
      <c r="AH14" s="7">
        <f>VLOOKUP(AG14,'Место-баллы'!$A$3:$E$52,2,0)</f>
        <v>75</v>
      </c>
    </row>
    <row r="15" spans="2:34" x14ac:dyDescent="0.25">
      <c r="B15" s="7">
        <f t="shared" si="0"/>
        <v>8</v>
      </c>
      <c r="C15" s="7">
        <f t="shared" si="1"/>
        <v>290</v>
      </c>
      <c r="D15" s="7">
        <f>VLOOKUP(B15,'Место-баллы'!$A$3:$E$52,5,0)</f>
        <v>39</v>
      </c>
      <c r="E15" s="10"/>
      <c r="F15" s="10" t="s">
        <v>83</v>
      </c>
      <c r="G15" s="10" t="s">
        <v>59</v>
      </c>
      <c r="H15" s="15"/>
      <c r="I15" s="10"/>
      <c r="J15" s="7">
        <v>3</v>
      </c>
      <c r="K15" s="7">
        <v>52</v>
      </c>
      <c r="L15" s="13">
        <f t="shared" si="2"/>
        <v>2.685185185185185E-3</v>
      </c>
      <c r="M15" s="7">
        <v>150</v>
      </c>
      <c r="N15" s="7">
        <f t="shared" si="3"/>
        <v>0</v>
      </c>
      <c r="O15" s="13">
        <f t="shared" si="4"/>
        <v>2.685185185185185E-3</v>
      </c>
      <c r="P15" s="7">
        <f t="shared" si="5"/>
        <v>7</v>
      </c>
      <c r="Q15" s="7">
        <f>VLOOKUP(P15,'Место-баллы'!$A$3:$E$52,2,0)</f>
        <v>73</v>
      </c>
      <c r="R15" s="10"/>
      <c r="S15" s="7">
        <v>12</v>
      </c>
      <c r="T15" s="7">
        <v>39</v>
      </c>
      <c r="U15" s="13">
        <f t="shared" si="6"/>
        <v>8.7847222222222215E-3</v>
      </c>
      <c r="V15" s="7">
        <v>2130</v>
      </c>
      <c r="W15" s="7">
        <f t="shared" si="7"/>
        <v>0</v>
      </c>
      <c r="X15" s="13">
        <f t="shared" si="8"/>
        <v>8.7847222222222215E-3</v>
      </c>
      <c r="Y15" s="7">
        <f t="shared" si="9"/>
        <v>8</v>
      </c>
      <c r="Z15" s="7">
        <f>VLOOKUP(Y15,'Место-баллы'!$A$3:$E$52,2,0)</f>
        <v>71</v>
      </c>
      <c r="AA15" s="10"/>
      <c r="AB15" s="7">
        <f>37+16+23+19</f>
        <v>95</v>
      </c>
      <c r="AC15" s="7">
        <f t="shared" si="10"/>
        <v>8</v>
      </c>
      <c r="AD15" s="7">
        <f>VLOOKUP(AC15,'Место-баллы'!$A$3:$E$52,2,0)</f>
        <v>71</v>
      </c>
      <c r="AE15" s="10"/>
      <c r="AF15" s="7">
        <f>14+12+20+13</f>
        <v>59</v>
      </c>
      <c r="AG15" s="7">
        <f t="shared" si="11"/>
        <v>6</v>
      </c>
      <c r="AH15" s="7">
        <f>VLOOKUP(AG15,'Место-баллы'!$A$3:$E$52,2,0)</f>
        <v>75</v>
      </c>
    </row>
    <row r="16" spans="2:34" x14ac:dyDescent="0.25">
      <c r="B16" s="7">
        <f t="shared" si="0"/>
        <v>9</v>
      </c>
      <c r="C16" s="7">
        <f t="shared" si="1"/>
        <v>140</v>
      </c>
      <c r="D16" s="7">
        <f>VLOOKUP(B16,'Место-баллы'!$A$3:$E$52,5,0)</f>
        <v>38</v>
      </c>
      <c r="E16" s="10"/>
      <c r="F16" s="10" t="s">
        <v>84</v>
      </c>
      <c r="G16" s="10" t="s">
        <v>85</v>
      </c>
      <c r="H16" s="15"/>
      <c r="I16" s="10"/>
      <c r="J16" s="7">
        <v>3</v>
      </c>
      <c r="K16" s="7">
        <v>53</v>
      </c>
      <c r="L16" s="13">
        <f t="shared" si="2"/>
        <v>2.6967592592592594E-3</v>
      </c>
      <c r="M16" s="7">
        <v>150</v>
      </c>
      <c r="N16" s="7">
        <f t="shared" si="3"/>
        <v>0</v>
      </c>
      <c r="O16" s="13">
        <f t="shared" si="4"/>
        <v>2.6967592592592594E-3</v>
      </c>
      <c r="P16" s="7">
        <f t="shared" si="5"/>
        <v>8</v>
      </c>
      <c r="Q16" s="7">
        <f>VLOOKUP(P16,'Место-баллы'!$A$3:$E$52,2,0)</f>
        <v>71</v>
      </c>
      <c r="R16" s="10"/>
      <c r="S16" s="7">
        <v>12</v>
      </c>
      <c r="T16" s="7">
        <v>56</v>
      </c>
      <c r="U16" s="13">
        <f t="shared" si="6"/>
        <v>8.9814814814814809E-3</v>
      </c>
      <c r="V16" s="7">
        <v>2130</v>
      </c>
      <c r="W16" s="7">
        <f t="shared" si="7"/>
        <v>0</v>
      </c>
      <c r="X16" s="13">
        <f t="shared" si="8"/>
        <v>8.9814814814814809E-3</v>
      </c>
      <c r="Y16" s="7">
        <f t="shared" si="9"/>
        <v>9</v>
      </c>
      <c r="Z16" s="7">
        <f>VLOOKUP(Y16,'Место-баллы'!$A$3:$E$52,2,0)</f>
        <v>69</v>
      </c>
      <c r="AA16" s="10"/>
      <c r="AB16" s="7"/>
      <c r="AC16" s="7"/>
      <c r="AD16" s="7">
        <v>0</v>
      </c>
      <c r="AE16" s="10"/>
      <c r="AF16" s="7"/>
      <c r="AG16" s="7"/>
      <c r="AH16" s="7">
        <v>0</v>
      </c>
    </row>
    <row r="17" spans="2:34" x14ac:dyDescent="0.25">
      <c r="B17" s="7">
        <f t="shared" si="0"/>
        <v>10</v>
      </c>
      <c r="C17" s="7">
        <f t="shared" si="1"/>
        <v>134</v>
      </c>
      <c r="D17" s="7">
        <f>VLOOKUP(B17,'Место-баллы'!$A$3:$E$52,5,0)</f>
        <v>37</v>
      </c>
      <c r="E17" s="10"/>
      <c r="F17" s="10" t="s">
        <v>87</v>
      </c>
      <c r="G17" s="10" t="s">
        <v>53</v>
      </c>
      <c r="H17" s="15"/>
      <c r="I17" s="10"/>
      <c r="J17" s="7">
        <v>4</v>
      </c>
      <c r="K17" s="7">
        <v>46</v>
      </c>
      <c r="L17" s="13">
        <f t="shared" si="2"/>
        <v>3.3101851851851851E-3</v>
      </c>
      <c r="M17" s="7">
        <v>150</v>
      </c>
      <c r="N17" s="7">
        <f t="shared" si="3"/>
        <v>0</v>
      </c>
      <c r="O17" s="13">
        <f t="shared" si="4"/>
        <v>3.3101851851851851E-3</v>
      </c>
      <c r="P17" s="7">
        <f t="shared" si="5"/>
        <v>10</v>
      </c>
      <c r="Q17" s="7">
        <f>VLOOKUP(P17,'Место-баллы'!$A$3:$E$52,2,0)</f>
        <v>67</v>
      </c>
      <c r="R17" s="10"/>
      <c r="S17" s="7">
        <v>13</v>
      </c>
      <c r="T17" s="7">
        <v>5</v>
      </c>
      <c r="U17" s="13">
        <f t="shared" si="6"/>
        <v>9.0856481481481483E-3</v>
      </c>
      <c r="V17" s="7">
        <f>1130+840</f>
        <v>1970</v>
      </c>
      <c r="W17" s="7">
        <f t="shared" si="7"/>
        <v>160</v>
      </c>
      <c r="X17" s="13">
        <f t="shared" si="8"/>
        <v>1.0937499999999999E-2</v>
      </c>
      <c r="Y17" s="7">
        <f t="shared" si="9"/>
        <v>10</v>
      </c>
      <c r="Z17" s="7">
        <f>VLOOKUP(Y17,'Место-баллы'!$A$3:$E$52,2,0)</f>
        <v>67</v>
      </c>
      <c r="AA17" s="10"/>
      <c r="AB17" s="7"/>
      <c r="AC17" s="7"/>
      <c r="AD17" s="7">
        <v>0</v>
      </c>
      <c r="AE17" s="10"/>
      <c r="AF17" s="7"/>
      <c r="AG17" s="7"/>
      <c r="AH17" s="7">
        <v>0</v>
      </c>
    </row>
    <row r="18" spans="2:34" x14ac:dyDescent="0.25">
      <c r="B18" s="7">
        <f t="shared" si="0"/>
        <v>11</v>
      </c>
      <c r="C18" s="7">
        <f t="shared" si="1"/>
        <v>130</v>
      </c>
      <c r="D18" s="7">
        <f>VLOOKUP(B18,'Место-баллы'!$A$3:$E$52,5,0)</f>
        <v>36</v>
      </c>
      <c r="E18" s="10"/>
      <c r="F18" s="10" t="s">
        <v>79</v>
      </c>
      <c r="G18" s="10" t="s">
        <v>80</v>
      </c>
      <c r="H18" s="15"/>
      <c r="I18" s="10"/>
      <c r="J18" s="7">
        <v>5</v>
      </c>
      <c r="K18" s="7">
        <v>35</v>
      </c>
      <c r="L18" s="13">
        <f t="shared" si="2"/>
        <v>3.8773148148148148E-3</v>
      </c>
      <c r="M18" s="7">
        <v>150</v>
      </c>
      <c r="N18" s="7">
        <f t="shared" si="3"/>
        <v>0</v>
      </c>
      <c r="O18" s="13">
        <f t="shared" si="4"/>
        <v>3.8773148148148148E-3</v>
      </c>
      <c r="P18" s="7">
        <f t="shared" si="5"/>
        <v>11</v>
      </c>
      <c r="Q18" s="7">
        <f>VLOOKUP(P18,'Место-баллы'!$A$3:$E$52,2,0)</f>
        <v>65</v>
      </c>
      <c r="R18" s="10"/>
      <c r="S18" s="7">
        <v>13</v>
      </c>
      <c r="T18" s="7">
        <v>5</v>
      </c>
      <c r="U18" s="13">
        <f t="shared" si="6"/>
        <v>9.0856481481481483E-3</v>
      </c>
      <c r="V18" s="7">
        <f>1130+580</f>
        <v>1710</v>
      </c>
      <c r="W18" s="7">
        <f t="shared" si="7"/>
        <v>420</v>
      </c>
      <c r="X18" s="13">
        <f t="shared" si="8"/>
        <v>1.3946759259259259E-2</v>
      </c>
      <c r="Y18" s="7">
        <f t="shared" si="9"/>
        <v>11</v>
      </c>
      <c r="Z18" s="7">
        <f>VLOOKUP(Y18,'Место-баллы'!$A$3:$E$52,2,0)</f>
        <v>65</v>
      </c>
      <c r="AA18" s="10"/>
      <c r="AB18" s="7"/>
      <c r="AC18" s="7"/>
      <c r="AD18" s="7">
        <v>0</v>
      </c>
      <c r="AE18" s="10"/>
      <c r="AF18" s="7"/>
      <c r="AG18" s="7"/>
      <c r="AH18" s="7">
        <v>0</v>
      </c>
    </row>
    <row r="19" spans="2:34" ht="15.75" customHeight="1" x14ac:dyDescent="0.25"/>
    <row r="20" spans="2:34" ht="15.75" customHeight="1" x14ac:dyDescent="0.25"/>
    <row r="21" spans="2:34" ht="15.75" customHeight="1" x14ac:dyDescent="0.25"/>
    <row r="22" spans="2:34" ht="15.75" customHeight="1" x14ac:dyDescent="0.25"/>
    <row r="23" spans="2:34" ht="15.75" customHeight="1" x14ac:dyDescent="0.25"/>
    <row r="24" spans="2:34" ht="15.75" customHeight="1" x14ac:dyDescent="0.25"/>
    <row r="25" spans="2:34" ht="15.75" customHeight="1" x14ac:dyDescent="0.25"/>
    <row r="26" spans="2:34" ht="15.75" customHeight="1" x14ac:dyDescent="0.25"/>
    <row r="27" spans="2:34" ht="15.75" customHeight="1" x14ac:dyDescent="0.25"/>
    <row r="28" spans="2:34" ht="15.75" customHeight="1" x14ac:dyDescent="0.25"/>
    <row r="29" spans="2:34" ht="15.75" customHeight="1" x14ac:dyDescent="0.25"/>
    <row r="30" spans="2:34" ht="15.75" customHeight="1" x14ac:dyDescent="0.25"/>
    <row r="31" spans="2:34" ht="15.75" customHeight="1" x14ac:dyDescent="0.25"/>
    <row r="32" spans="2:3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</sheetData>
  <autoFilter ref="B7:AH7" xr:uid="{CD165616-7AE1-4645-A67D-8FF4F3B0327B}">
    <sortState xmlns:xlrd2="http://schemas.microsoft.com/office/spreadsheetml/2017/richdata2" ref="B8:AH18">
      <sortCondition ref="B7"/>
    </sortState>
  </autoFilter>
  <mergeCells count="6">
    <mergeCell ref="AF5:AH6"/>
    <mergeCell ref="B5:D6"/>
    <mergeCell ref="F5:H6"/>
    <mergeCell ref="J5:Q6"/>
    <mergeCell ref="S5:Z6"/>
    <mergeCell ref="AB5:AD6"/>
  </mergeCells>
  <conditionalFormatting sqref="F8:F18">
    <cfRule type="duplicateValues" dxfId="1" priority="5"/>
  </conditionalFormatting>
  <printOptions horizontalCentered="1" verticalCentered="1"/>
  <pageMargins left="0" right="0" top="0" bottom="0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Место-баллы</vt:lpstr>
      <vt:lpstr>Ж</vt:lpstr>
      <vt:lpstr>М</vt:lpstr>
      <vt:lpstr>35-44 ММ</vt:lpstr>
      <vt:lpstr>45+ ММ</vt:lpstr>
      <vt:lpstr>Любители МЖ</vt:lpstr>
      <vt:lpstr>Любители ММ</vt:lpstr>
      <vt:lpstr>Новички МЖ</vt:lpstr>
      <vt:lpstr>Новички ММ</vt:lpstr>
      <vt:lpstr>МММЖ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Reseption</dc:creator>
  <cp:lastModifiedBy>hp</cp:lastModifiedBy>
  <cp:lastPrinted>2024-12-08T13:40:59Z</cp:lastPrinted>
  <dcterms:created xsi:type="dcterms:W3CDTF">2017-08-12T14:09:08Z</dcterms:created>
  <dcterms:modified xsi:type="dcterms:W3CDTF">2024-12-08T13:53:20Z</dcterms:modified>
</cp:coreProperties>
</file>