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hp\Desktop\Гера\2020\"/>
    </mc:Choice>
  </mc:AlternateContent>
  <xr:revisionPtr revIDLastSave="0" documentId="13_ncr:1_{8E2C8D7C-5B86-43D8-8997-656FD248C3DB}" xr6:coauthVersionLast="45" xr6:coauthVersionMax="45" xr10:uidLastSave="{00000000-0000-0000-0000-000000000000}"/>
  <bookViews>
    <workbookView xWindow="-120" yWindow="-120" windowWidth="20730" windowHeight="11280" tabRatio="818" activeTab="4" xr2:uid="{00000000-000D-0000-FFFF-FFFF00000000}"/>
  </bookViews>
  <sheets>
    <sheet name="Место-баллы" sheetId="1" r:id="rId1"/>
    <sheet name="21+ Ж до 63 кг" sheetId="19" r:id="rId2"/>
    <sheet name="21+ Ж 63+ кг" sheetId="20" r:id="rId3"/>
    <sheet name="21+ М до 85 кг" sheetId="21" r:id="rId4"/>
    <sheet name="21+ М 85+ кг" sheetId="22" r:id="rId5"/>
  </sheets>
  <externalReferences>
    <externalReference r:id="rId6"/>
  </externalReferences>
  <definedNames>
    <definedName name="_xlnm._FilterDatabase" localSheetId="2" hidden="1">'21+ Ж 63+ кг'!$B$19:$AJ$19</definedName>
    <definedName name="_xlnm._FilterDatabase" localSheetId="1" hidden="1">'21+ Ж до 63 кг'!$B$19:$AJ$19</definedName>
    <definedName name="_xlnm._FilterDatabase" localSheetId="4" hidden="1">'21+ М 85+ кг'!$B$19:$AJ$19</definedName>
    <definedName name="_xlnm._FilterDatabase" localSheetId="3" hidden="1">'21+ М до 85 кг'!$B$19:$AJ$19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8" i="22" l="1"/>
  <c r="N29" i="22"/>
  <c r="O23" i="22"/>
  <c r="P23" i="22" s="1"/>
  <c r="S23" i="22"/>
  <c r="T23" i="22" s="1"/>
  <c r="Y23" i="22"/>
  <c r="AE23" i="22"/>
  <c r="AG23" i="22"/>
  <c r="O21" i="22"/>
  <c r="P21" i="22" s="1"/>
  <c r="S21" i="22"/>
  <c r="T21" i="22" s="1"/>
  <c r="Y21" i="22"/>
  <c r="AE21" i="22"/>
  <c r="AG21" i="22"/>
  <c r="O29" i="22"/>
  <c r="P29" i="22" s="1"/>
  <c r="S29" i="22"/>
  <c r="T29" i="22" s="1"/>
  <c r="O25" i="22"/>
  <c r="P25" i="22" s="1"/>
  <c r="S25" i="22"/>
  <c r="T25" i="22" s="1"/>
  <c r="Y25" i="22"/>
  <c r="AE25" i="22"/>
  <c r="AG25" i="22"/>
  <c r="O27" i="22"/>
  <c r="P27" i="22" s="1"/>
  <c r="S27" i="22"/>
  <c r="T27" i="22" s="1"/>
  <c r="Y27" i="22"/>
  <c r="AE27" i="22"/>
  <c r="AG27" i="22"/>
  <c r="O26" i="22"/>
  <c r="P26" i="22" s="1"/>
  <c r="S26" i="22"/>
  <c r="T26" i="22" s="1"/>
  <c r="Y26" i="22"/>
  <c r="AE26" i="22"/>
  <c r="AG26" i="22"/>
  <c r="O22" i="22"/>
  <c r="P22" i="22" s="1"/>
  <c r="S22" i="22"/>
  <c r="T22" i="22" s="1"/>
  <c r="Y22" i="22"/>
  <c r="AE22" i="22"/>
  <c r="AG22" i="22"/>
  <c r="O20" i="22"/>
  <c r="P20" i="22" s="1"/>
  <c r="S20" i="22"/>
  <c r="T20" i="22" s="1"/>
  <c r="Y20" i="22"/>
  <c r="AE20" i="22"/>
  <c r="AG20" i="22"/>
  <c r="O24" i="22"/>
  <c r="P24" i="22" s="1"/>
  <c r="S24" i="22"/>
  <c r="T24" i="22" s="1"/>
  <c r="Y24" i="22"/>
  <c r="AE24" i="22"/>
  <c r="AG24" i="22"/>
  <c r="J23" i="22"/>
  <c r="J21" i="22"/>
  <c r="J29" i="22"/>
  <c r="J25" i="22"/>
  <c r="J27" i="22"/>
  <c r="J26" i="22"/>
  <c r="J22" i="22"/>
  <c r="J20" i="22"/>
  <c r="J24" i="22"/>
  <c r="N25" i="22"/>
  <c r="N21" i="22"/>
  <c r="N23" i="22"/>
  <c r="N27" i="22"/>
  <c r="N26" i="22"/>
  <c r="N24" i="22"/>
  <c r="N20" i="22"/>
  <c r="N22" i="22"/>
  <c r="N20" i="21"/>
  <c r="N22" i="21"/>
  <c r="N27" i="21"/>
  <c r="N26" i="21"/>
  <c r="N28" i="21"/>
  <c r="N23" i="21"/>
  <c r="N21" i="21"/>
  <c r="N24" i="21"/>
  <c r="N25" i="21"/>
  <c r="N22" i="20"/>
  <c r="N23" i="20"/>
  <c r="N20" i="20"/>
  <c r="N21" i="20"/>
  <c r="N20" i="19"/>
  <c r="N22" i="19"/>
  <c r="N24" i="19"/>
  <c r="N21" i="19"/>
  <c r="N23" i="19"/>
  <c r="AH22" i="22" l="1"/>
  <c r="AH27" i="22"/>
  <c r="AH26" i="22"/>
  <c r="AH24" i="22"/>
  <c r="AH20" i="22"/>
  <c r="AH25" i="22"/>
  <c r="AH21" i="22"/>
  <c r="AH23" i="22"/>
  <c r="J24" i="21"/>
  <c r="O24" i="21"/>
  <c r="P24" i="21" s="1"/>
  <c r="S24" i="21"/>
  <c r="T24" i="21" s="1"/>
  <c r="Y24" i="21"/>
  <c r="AE24" i="21"/>
  <c r="AG24" i="21"/>
  <c r="J25" i="21"/>
  <c r="O25" i="21"/>
  <c r="P25" i="21" s="1"/>
  <c r="S25" i="21"/>
  <c r="T25" i="21" s="1"/>
  <c r="Y25" i="21"/>
  <c r="AE25" i="21"/>
  <c r="AG25" i="21"/>
  <c r="J23" i="21"/>
  <c r="O23" i="21"/>
  <c r="P23" i="21" s="1"/>
  <c r="S23" i="21"/>
  <c r="T23" i="21" s="1"/>
  <c r="Y23" i="21"/>
  <c r="AE23" i="21"/>
  <c r="AG23" i="21"/>
  <c r="J28" i="21"/>
  <c r="O28" i="21"/>
  <c r="P28" i="21" s="1"/>
  <c r="S28" i="21"/>
  <c r="T28" i="21" s="1"/>
  <c r="Y28" i="21"/>
  <c r="AE28" i="21"/>
  <c r="AG28" i="21"/>
  <c r="J20" i="21"/>
  <c r="O20" i="21"/>
  <c r="P20" i="21" s="1"/>
  <c r="S20" i="21"/>
  <c r="T20" i="21" s="1"/>
  <c r="Y20" i="21"/>
  <c r="AE20" i="21"/>
  <c r="AG20" i="21"/>
  <c r="J27" i="21"/>
  <c r="O27" i="21"/>
  <c r="P27" i="21" s="1"/>
  <c r="S27" i="21"/>
  <c r="T27" i="21" s="1"/>
  <c r="Y27" i="21"/>
  <c r="AE27" i="21"/>
  <c r="AG27" i="21"/>
  <c r="J22" i="21"/>
  <c r="O22" i="21"/>
  <c r="P22" i="21" s="1"/>
  <c r="S22" i="21"/>
  <c r="T22" i="21" s="1"/>
  <c r="Y22" i="21"/>
  <c r="AE22" i="21"/>
  <c r="AG22" i="21"/>
  <c r="J26" i="21"/>
  <c r="O26" i="21"/>
  <c r="P26" i="21" s="1"/>
  <c r="S26" i="21"/>
  <c r="T26" i="21" s="1"/>
  <c r="Y26" i="21"/>
  <c r="AE26" i="21"/>
  <c r="AG26" i="21"/>
  <c r="AG28" i="22"/>
  <c r="AE28" i="22"/>
  <c r="Y28" i="22"/>
  <c r="Z24" i="22" s="1"/>
  <c r="AA24" i="22" s="1"/>
  <c r="S28" i="22"/>
  <c r="T28" i="22" s="1"/>
  <c r="O28" i="22"/>
  <c r="P28" i="22" s="1"/>
  <c r="J28" i="22"/>
  <c r="K24" i="22" s="1"/>
  <c r="L24" i="22" s="1"/>
  <c r="AG21" i="21"/>
  <c r="AE21" i="21"/>
  <c r="Y21" i="21"/>
  <c r="S21" i="21"/>
  <c r="T21" i="21" s="1"/>
  <c r="O21" i="21"/>
  <c r="P21" i="21" s="1"/>
  <c r="J21" i="21"/>
  <c r="AG23" i="20"/>
  <c r="AE23" i="20"/>
  <c r="Y23" i="20"/>
  <c r="S23" i="20"/>
  <c r="T23" i="20" s="1"/>
  <c r="O23" i="20"/>
  <c r="P23" i="20" s="1"/>
  <c r="J23" i="20"/>
  <c r="AG22" i="20"/>
  <c r="AE22" i="20"/>
  <c r="Y22" i="20"/>
  <c r="S22" i="20"/>
  <c r="T22" i="20" s="1"/>
  <c r="O22" i="20"/>
  <c r="P22" i="20" s="1"/>
  <c r="J22" i="20"/>
  <c r="AG21" i="20"/>
  <c r="AE21" i="20"/>
  <c r="Y21" i="20"/>
  <c r="S21" i="20"/>
  <c r="T21" i="20" s="1"/>
  <c r="O21" i="20"/>
  <c r="P21" i="20" s="1"/>
  <c r="J21" i="20"/>
  <c r="AG20" i="20"/>
  <c r="AE20" i="20"/>
  <c r="Y20" i="20"/>
  <c r="Z20" i="20" s="1"/>
  <c r="AA20" i="20" s="1"/>
  <c r="S20" i="20"/>
  <c r="T20" i="20" s="1"/>
  <c r="O20" i="20"/>
  <c r="P20" i="20" s="1"/>
  <c r="J20" i="20"/>
  <c r="J22" i="19"/>
  <c r="O22" i="19"/>
  <c r="P22" i="19" s="1"/>
  <c r="S22" i="19"/>
  <c r="T22" i="19" s="1"/>
  <c r="Y22" i="19"/>
  <c r="AE22" i="19"/>
  <c r="AG22" i="19"/>
  <c r="J24" i="19"/>
  <c r="O24" i="19"/>
  <c r="P24" i="19" s="1"/>
  <c r="S24" i="19"/>
  <c r="T24" i="19" s="1"/>
  <c r="Y24" i="19"/>
  <c r="AE24" i="19"/>
  <c r="AG24" i="19"/>
  <c r="J21" i="19"/>
  <c r="O21" i="19"/>
  <c r="P21" i="19" s="1"/>
  <c r="S21" i="19"/>
  <c r="T21" i="19" s="1"/>
  <c r="Y21" i="19"/>
  <c r="AE21" i="19"/>
  <c r="AG21" i="19"/>
  <c r="J23" i="19"/>
  <c r="O23" i="19"/>
  <c r="P23" i="19" s="1"/>
  <c r="S23" i="19"/>
  <c r="T23" i="19" s="1"/>
  <c r="Y23" i="19"/>
  <c r="AE23" i="19"/>
  <c r="AG23" i="19"/>
  <c r="AG20" i="19"/>
  <c r="AE20" i="19"/>
  <c r="Y20" i="19"/>
  <c r="S20" i="19"/>
  <c r="T20" i="19" s="1"/>
  <c r="O20" i="19"/>
  <c r="P20" i="19" s="1"/>
  <c r="J20" i="19"/>
  <c r="Z20" i="19" l="1"/>
  <c r="AA20" i="19" s="1"/>
  <c r="AH28" i="21"/>
  <c r="AH21" i="19"/>
  <c r="AH24" i="19"/>
  <c r="AH23" i="20"/>
  <c r="K29" i="22"/>
  <c r="L29" i="22" s="1"/>
  <c r="K22" i="22"/>
  <c r="L22" i="22" s="1"/>
  <c r="Z21" i="22"/>
  <c r="AA21" i="22" s="1"/>
  <c r="Z25" i="22"/>
  <c r="AA25" i="22" s="1"/>
  <c r="Z22" i="22"/>
  <c r="AA22" i="22" s="1"/>
  <c r="K25" i="22"/>
  <c r="L25" i="22" s="1"/>
  <c r="K20" i="22"/>
  <c r="L20" i="22" s="1"/>
  <c r="Z26" i="22"/>
  <c r="AA26" i="22" s="1"/>
  <c r="Z20" i="22"/>
  <c r="AA20" i="22" s="1"/>
  <c r="K23" i="22"/>
  <c r="L23" i="22" s="1"/>
  <c r="K27" i="22"/>
  <c r="L27" i="22" s="1"/>
  <c r="K21" i="22"/>
  <c r="L21" i="22" s="1"/>
  <c r="K26" i="22"/>
  <c r="L26" i="22" s="1"/>
  <c r="Z27" i="22"/>
  <c r="AA27" i="22" s="1"/>
  <c r="Z23" i="22"/>
  <c r="AA23" i="22" s="1"/>
  <c r="AH22" i="21"/>
  <c r="AH27" i="21"/>
  <c r="AH25" i="21"/>
  <c r="Z21" i="21"/>
  <c r="AA21" i="21" s="1"/>
  <c r="AH23" i="21"/>
  <c r="AH24" i="21"/>
  <c r="AH21" i="20"/>
  <c r="AH20" i="20"/>
  <c r="K20" i="20"/>
  <c r="L20" i="20" s="1"/>
  <c r="AH23" i="19"/>
  <c r="Z21" i="19"/>
  <c r="AA21" i="19" s="1"/>
  <c r="AH22" i="19"/>
  <c r="Z22" i="19"/>
  <c r="AA22" i="19" s="1"/>
  <c r="Z23" i="19"/>
  <c r="AA23" i="19" s="1"/>
  <c r="K23" i="19"/>
  <c r="L23" i="19" s="1"/>
  <c r="K24" i="19"/>
  <c r="L24" i="19" s="1"/>
  <c r="AH28" i="22"/>
  <c r="Z28" i="22"/>
  <c r="AA28" i="22" s="1"/>
  <c r="Z22" i="21"/>
  <c r="AA22" i="21" s="1"/>
  <c r="Z23" i="21"/>
  <c r="AA23" i="21" s="1"/>
  <c r="AH21" i="21"/>
  <c r="AH26" i="21"/>
  <c r="AH20" i="21"/>
  <c r="K26" i="21"/>
  <c r="L26" i="21" s="1"/>
  <c r="K28" i="21"/>
  <c r="L28" i="21" s="1"/>
  <c r="Z26" i="21"/>
  <c r="AA26" i="21" s="1"/>
  <c r="K27" i="21"/>
  <c r="L27" i="21" s="1"/>
  <c r="Z20" i="21"/>
  <c r="AA20" i="21" s="1"/>
  <c r="K25" i="21"/>
  <c r="L25" i="21" s="1"/>
  <c r="Z24" i="21"/>
  <c r="AA24" i="21" s="1"/>
  <c r="K22" i="21"/>
  <c r="L22" i="21" s="1"/>
  <c r="Z27" i="21"/>
  <c r="AA27" i="21" s="1"/>
  <c r="K20" i="21"/>
  <c r="L20" i="21" s="1"/>
  <c r="Z28" i="21"/>
  <c r="AA28" i="21" s="1"/>
  <c r="K23" i="21"/>
  <c r="L23" i="21" s="1"/>
  <c r="Z25" i="21"/>
  <c r="AA25" i="21" s="1"/>
  <c r="K24" i="21"/>
  <c r="L24" i="21" s="1"/>
  <c r="K28" i="22"/>
  <c r="L28" i="22" s="1"/>
  <c r="K21" i="21"/>
  <c r="L21" i="21" s="1"/>
  <c r="K21" i="20"/>
  <c r="L21" i="20" s="1"/>
  <c r="AH22" i="20"/>
  <c r="K23" i="20"/>
  <c r="L23" i="20" s="1"/>
  <c r="Z22" i="20"/>
  <c r="AA22" i="20" s="1"/>
  <c r="Z21" i="20"/>
  <c r="AA21" i="20" s="1"/>
  <c r="K22" i="20"/>
  <c r="L22" i="20" s="1"/>
  <c r="Z23" i="20"/>
  <c r="AA23" i="20" s="1"/>
  <c r="K21" i="19"/>
  <c r="L21" i="19" s="1"/>
  <c r="Z24" i="19"/>
  <c r="AA24" i="19" s="1"/>
  <c r="K22" i="19"/>
  <c r="L22" i="19" s="1"/>
  <c r="K20" i="19"/>
  <c r="L20" i="19" s="1"/>
  <c r="AH20" i="19"/>
  <c r="AI23" i="20" l="1"/>
  <c r="AJ23" i="20" s="1"/>
  <c r="AI20" i="19"/>
  <c r="AJ20" i="19" s="1"/>
  <c r="C20" i="19" s="1"/>
  <c r="C29" i="22"/>
  <c r="AI21" i="20"/>
  <c r="AJ21" i="20" s="1"/>
  <c r="C21" i="20" s="1"/>
  <c r="C23" i="20"/>
  <c r="AI22" i="20"/>
  <c r="AJ22" i="20" s="1"/>
  <c r="C22" i="20" s="1"/>
  <c r="AI20" i="20"/>
  <c r="AJ20" i="20" s="1"/>
  <c r="C20" i="20" s="1"/>
  <c r="AI24" i="22"/>
  <c r="AJ24" i="22" s="1"/>
  <c r="C24" i="22" s="1"/>
  <c r="AI25" i="22"/>
  <c r="AJ25" i="22" s="1"/>
  <c r="C25" i="22" s="1"/>
  <c r="AI21" i="22"/>
  <c r="AJ21" i="22" s="1"/>
  <c r="C21" i="22" s="1"/>
  <c r="AI22" i="22"/>
  <c r="AJ22" i="22" s="1"/>
  <c r="C22" i="22" s="1"/>
  <c r="AI27" i="22"/>
  <c r="AJ27" i="22" s="1"/>
  <c r="C27" i="22" s="1"/>
  <c r="AI20" i="22"/>
  <c r="AJ20" i="22" s="1"/>
  <c r="C20" i="22" s="1"/>
  <c r="AI23" i="22"/>
  <c r="AJ23" i="22" s="1"/>
  <c r="C23" i="22" s="1"/>
  <c r="AI26" i="22"/>
  <c r="AJ26" i="22" s="1"/>
  <c r="C26" i="22" s="1"/>
  <c r="AI23" i="21"/>
  <c r="AJ23" i="21" s="1"/>
  <c r="C23" i="21" s="1"/>
  <c r="AI21" i="21"/>
  <c r="AJ21" i="21" s="1"/>
  <c r="C21" i="21" s="1"/>
  <c r="AI27" i="21"/>
  <c r="AJ27" i="21" s="1"/>
  <c r="C27" i="21" s="1"/>
  <c r="AI24" i="21"/>
  <c r="AJ24" i="21" s="1"/>
  <c r="C24" i="21" s="1"/>
  <c r="AI25" i="21"/>
  <c r="AJ25" i="21" s="1"/>
  <c r="C25" i="21" s="1"/>
  <c r="AI20" i="21"/>
  <c r="AJ20" i="21" s="1"/>
  <c r="C20" i="21" s="1"/>
  <c r="AI23" i="19"/>
  <c r="AJ23" i="19" s="1"/>
  <c r="C23" i="19" s="1"/>
  <c r="AI24" i="19"/>
  <c r="AJ24" i="19" s="1"/>
  <c r="C24" i="19" s="1"/>
  <c r="AI21" i="19"/>
  <c r="AJ21" i="19" s="1"/>
  <c r="C21" i="19" s="1"/>
  <c r="AI22" i="19"/>
  <c r="AJ22" i="19" s="1"/>
  <c r="C22" i="19" s="1"/>
  <c r="AI28" i="22"/>
  <c r="AJ28" i="22" s="1"/>
  <c r="C28" i="22" s="1"/>
  <c r="AI28" i="21"/>
  <c r="AJ28" i="21" s="1"/>
  <c r="C28" i="21" s="1"/>
  <c r="AI22" i="21"/>
  <c r="AJ22" i="21" s="1"/>
  <c r="C22" i="21" s="1"/>
  <c r="AI26" i="21"/>
  <c r="AJ26" i="21" s="1"/>
  <c r="C26" i="21" s="1"/>
  <c r="B24" i="22" l="1"/>
  <c r="B29" i="22"/>
  <c r="B25" i="22"/>
  <c r="B22" i="22"/>
  <c r="B21" i="22"/>
  <c r="B23" i="22"/>
  <c r="B20" i="22"/>
  <c r="B26" i="22"/>
  <c r="B27" i="22"/>
  <c r="B27" i="21"/>
  <c r="B23" i="21"/>
  <c r="B20" i="21"/>
  <c r="B26" i="21"/>
  <c r="B28" i="21"/>
  <c r="B25" i="21"/>
  <c r="B22" i="21"/>
  <c r="B24" i="21"/>
  <c r="B24" i="19"/>
  <c r="B23" i="19"/>
  <c r="B22" i="19"/>
  <c r="B21" i="19"/>
  <c r="B21" i="20"/>
  <c r="B22" i="20"/>
  <c r="B23" i="20"/>
  <c r="B20" i="20"/>
  <c r="B28" i="22" l="1"/>
  <c r="B21" i="21"/>
  <c r="B20" i="19"/>
</calcChain>
</file>

<file path=xl/sharedStrings.xml><?xml version="1.0" encoding="utf-8"?>
<sst xmlns="http://schemas.openxmlformats.org/spreadsheetml/2006/main" count="228" uniqueCount="77">
  <si>
    <t>100-бальная система</t>
  </si>
  <si>
    <t>50-бальная система</t>
  </si>
  <si>
    <t>место</t>
  </si>
  <si>
    <t>баллы</t>
  </si>
  <si>
    <t>Итоговый результат</t>
  </si>
  <si>
    <t>Задание 2
100 баллов</t>
  </si>
  <si>
    <t>Задание 3
100 баллов</t>
  </si>
  <si>
    <t>Задание 4
100 баллов</t>
  </si>
  <si>
    <t>Итоговое место</t>
  </si>
  <si>
    <t>Сумма баллов</t>
  </si>
  <si>
    <t>ФИО</t>
  </si>
  <si>
    <t>Мин</t>
  </si>
  <si>
    <t>Сек</t>
  </si>
  <si>
    <t>Время</t>
  </si>
  <si>
    <t>Место</t>
  </si>
  <si>
    <t>Баллы</t>
  </si>
  <si>
    <t>Повторения</t>
  </si>
  <si>
    <t>Штраф</t>
  </si>
  <si>
    <t>Общероссийская физкультурно-спортивная общественная организация</t>
  </si>
  <si>
    <t>«Федерация функционального многоборья»</t>
  </si>
  <si>
    <t>105122, г. Москва, Сиреневый бульвар, д. 4, тел: 8-495-660-33-94, 8-499-401-02-37</t>
  </si>
  <si>
    <t>Итоговый протокол</t>
  </si>
  <si>
    <t>Весовая категория до 63 кг</t>
  </si>
  <si>
    <t>Весовая категория до 85 кг</t>
  </si>
  <si>
    <r>
      <t>Женщины 21</t>
    </r>
    <r>
      <rPr>
        <b/>
        <sz val="14"/>
        <color rgb="FF000000"/>
        <rFont val="Times New Roman"/>
        <family val="1"/>
        <charset val="204"/>
      </rPr>
      <t>+</t>
    </r>
  </si>
  <si>
    <r>
      <t>Весовая категория 63</t>
    </r>
    <r>
      <rPr>
        <b/>
        <sz val="14"/>
        <color rgb="FF000000"/>
        <rFont val="Times New Roman"/>
        <family val="1"/>
        <charset val="204"/>
      </rPr>
      <t>+</t>
    </r>
    <r>
      <rPr>
        <sz val="14"/>
        <color rgb="FF000000"/>
        <rFont val="Times New Roman"/>
        <family val="1"/>
        <charset val="204"/>
      </rPr>
      <t xml:space="preserve"> кг</t>
    </r>
  </si>
  <si>
    <r>
      <t>Мужчины 21</t>
    </r>
    <r>
      <rPr>
        <b/>
        <sz val="14"/>
        <color rgb="FF000000"/>
        <rFont val="Times New Roman"/>
        <family val="1"/>
        <charset val="204"/>
      </rPr>
      <t>+</t>
    </r>
  </si>
  <si>
    <r>
      <t>Весовая категория 85</t>
    </r>
    <r>
      <rPr>
        <b/>
        <sz val="14"/>
        <color rgb="FF000000"/>
        <rFont val="Times New Roman"/>
        <family val="1"/>
        <charset val="204"/>
      </rPr>
      <t>+</t>
    </r>
    <r>
      <rPr>
        <sz val="14"/>
        <color rgb="FF000000"/>
        <rFont val="Times New Roman"/>
        <family val="1"/>
        <charset val="204"/>
      </rPr>
      <t xml:space="preserve"> кг</t>
    </r>
  </si>
  <si>
    <t>Веселова Светлана</t>
  </si>
  <si>
    <t>Чигарева Алёна</t>
  </si>
  <si>
    <r>
      <t>ОГРН 1127799008754, ИНН</t>
    </r>
    <r>
      <rPr>
        <b/>
        <sz val="12"/>
        <color theme="1"/>
        <rFont val="Times New Roman"/>
        <family val="1"/>
        <charset val="204"/>
      </rPr>
      <t>/</t>
    </r>
    <r>
      <rPr>
        <sz val="12"/>
        <color theme="1"/>
        <rFont val="Times New Roman"/>
        <family val="1"/>
        <charset val="204"/>
      </rPr>
      <t>КПП 7719289698</t>
    </r>
    <r>
      <rPr>
        <b/>
        <sz val="12"/>
        <color theme="1"/>
        <rFont val="Times New Roman"/>
        <family val="1"/>
        <charset val="204"/>
      </rPr>
      <t>/</t>
    </r>
    <r>
      <rPr>
        <sz val="12"/>
        <color theme="1"/>
        <rFont val="Times New Roman"/>
        <family val="1"/>
        <charset val="204"/>
      </rPr>
      <t>771901001</t>
    </r>
  </si>
  <si>
    <t>Кузин Николай</t>
  </si>
  <si>
    <t>Кузьменко Роман</t>
  </si>
  <si>
    <t>Дмитровский Сергей</t>
  </si>
  <si>
    <t>Баль Михаил</t>
  </si>
  <si>
    <t>Григорьев Максим</t>
  </si>
  <si>
    <t>Главный судья______________ Смирнов А.А.</t>
  </si>
  <si>
    <t>Главный секретарь_________ Комарова М.Г.</t>
  </si>
  <si>
    <t>Женщины
21+ (63+ кг)</t>
  </si>
  <si>
    <t>Женщины
21+ (до 63 кг)</t>
  </si>
  <si>
    <t>Мужчины
21+ (до 85 кг)</t>
  </si>
  <si>
    <t>Мужчины
21+ (85+ кг)</t>
  </si>
  <si>
    <t>Шкляев Алексей</t>
  </si>
  <si>
    <t>10 минут</t>
  </si>
  <si>
    <t>Задание 1.1
100 баллов</t>
  </si>
  <si>
    <t>Задание 1.2
100 баллов</t>
  </si>
  <si>
    <t>Вес 1</t>
  </si>
  <si>
    <t>Вес 2</t>
  </si>
  <si>
    <t>Вес 3</t>
  </si>
  <si>
    <t>Тоннаж</t>
  </si>
  <si>
    <t>Рывок</t>
  </si>
  <si>
    <t>Подъемы</t>
  </si>
  <si>
    <t>Махи</t>
  </si>
  <si>
    <t>Сумма</t>
  </si>
  <si>
    <t>Котельникова Анастасия</t>
  </si>
  <si>
    <t>Райкова Инна</t>
  </si>
  <si>
    <t>Лепехина Алёна</t>
  </si>
  <si>
    <t>Кузнецова Наталья</t>
  </si>
  <si>
    <t>Алимова Любовь</t>
  </si>
  <si>
    <t>Ломакина Анна</t>
  </si>
  <si>
    <t>Шохина Александра</t>
  </si>
  <si>
    <t>Лебедев Александр</t>
  </si>
  <si>
    <t>Зуйков Антон</t>
  </si>
  <si>
    <t>Кучинский Юрий</t>
  </si>
  <si>
    <t>Франк Илья</t>
  </si>
  <si>
    <t>Антонов Алексей</t>
  </si>
  <si>
    <t>Баландин Виталий</t>
  </si>
  <si>
    <t>Дмитриев Максим</t>
  </si>
  <si>
    <t>Филатов Владимир</t>
  </si>
  <si>
    <t>Кравец Руслан</t>
  </si>
  <si>
    <t>Смешков Геннадий</t>
  </si>
  <si>
    <t>Салманов Александр</t>
  </si>
  <si>
    <t>Ленчук Богдан</t>
  </si>
  <si>
    <t>Чемпионат Московской области по функциональному многоборью</t>
  </si>
  <si>
    <t>25-26 января 2020 года</t>
  </si>
  <si>
    <t>Кожухарь Денис</t>
  </si>
  <si>
    <t>dns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</si>
</sst>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7" x14ac:knownFonts="1">
    <font>
      <sz val="11"/>
      <color rgb="FF000000"/>
      <name val="Calibri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i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i/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9CC2E5"/>
        <bgColor rgb="FF9CC2E5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4"/>
  </cellStyleXfs>
  <cellXfs count="51">
    <xf numFmtId="0" fontId="0" fillId="0" borderId="0" xfId="0" applyFont="1" applyAlignment="1"/>
    <xf numFmtId="0" fontId="0" fillId="3" borderId="3" xfId="0" applyFont="1" applyFill="1" applyBorder="1"/>
    <xf numFmtId="0" fontId="0" fillId="4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/>
    <xf numFmtId="0" fontId="8" fillId="5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164" fontId="0" fillId="0" borderId="0" xfId="0" applyNumberFormat="1" applyFont="1" applyAlignment="1"/>
    <xf numFmtId="0" fontId="4" fillId="7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10" fillId="0" borderId="0" xfId="0" applyFont="1" applyAlignment="1"/>
    <xf numFmtId="0" fontId="13" fillId="0" borderId="0" xfId="0" applyFont="1" applyAlignment="1"/>
    <xf numFmtId="0" fontId="0" fillId="0" borderId="5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Fill="1" applyAlignment="1"/>
    <xf numFmtId="0" fontId="0" fillId="0" borderId="0" xfId="0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0" xfId="0"/>
    <xf numFmtId="0" fontId="0" fillId="8" borderId="0" xfId="0" applyFill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0" fillId="0" borderId="5" xfId="0" applyBorder="1"/>
    <xf numFmtId="164" fontId="0" fillId="0" borderId="5" xfId="0" applyNumberFormat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" fillId="0" borderId="2" xfId="0" applyFont="1" applyBorder="1"/>
    <xf numFmtId="0" fontId="2" fillId="6" borderId="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/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77;&#1088;&#1074;&#1077;&#1085;&#1089;&#1090;&#1074;&#1086;%20&#1052;&#1086;&#1089;&#1082;&#1086;&#1074;&#1089;&#1082;&#1086;&#1081;%20&#1086;&#1073;&#1083;&#1072;&#1089;&#1090;&#1080;%20&#1087;&#1086;%20&#1060;&#1052;%2025-26.01.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сто-баллы"/>
      <sheetName val="14-15 Ж до 53 кг"/>
      <sheetName val="14-15 Ж 53+ кг"/>
      <sheetName val="16-17 Ж до 58 кг"/>
      <sheetName val="16-17 Ж 58+ кг"/>
      <sheetName val="14-15 М до 60 кг"/>
      <sheetName val="14-15 М 60+ кг"/>
      <sheetName val="16-17 М до 70 кг"/>
      <sheetName val="16-17 М 70+ кг"/>
      <sheetName val="18-20 М до 85 кг"/>
      <sheetName val="18-20 М 85+ кг"/>
    </sheetNames>
    <sheetDataSet>
      <sheetData sheetId="0">
        <row r="3">
          <cell r="A3">
            <v>1</v>
          </cell>
          <cell r="B3">
            <v>100</v>
          </cell>
        </row>
        <row r="4">
          <cell r="A4">
            <v>2</v>
          </cell>
          <cell r="B4">
            <v>95</v>
          </cell>
        </row>
        <row r="5">
          <cell r="A5">
            <v>3</v>
          </cell>
          <cell r="B5">
            <v>90</v>
          </cell>
        </row>
        <row r="6">
          <cell r="A6">
            <v>4</v>
          </cell>
          <cell r="B6">
            <v>85</v>
          </cell>
        </row>
        <row r="7">
          <cell r="A7">
            <v>5</v>
          </cell>
          <cell r="B7">
            <v>80</v>
          </cell>
        </row>
        <row r="8">
          <cell r="A8">
            <v>6</v>
          </cell>
          <cell r="B8">
            <v>75</v>
          </cell>
        </row>
        <row r="9">
          <cell r="A9">
            <v>7</v>
          </cell>
          <cell r="B9">
            <v>73</v>
          </cell>
        </row>
        <row r="10">
          <cell r="A10">
            <v>8</v>
          </cell>
          <cell r="B10">
            <v>71</v>
          </cell>
        </row>
        <row r="11">
          <cell r="A11">
            <v>9</v>
          </cell>
          <cell r="B11">
            <v>69</v>
          </cell>
        </row>
        <row r="12">
          <cell r="A12">
            <v>10</v>
          </cell>
          <cell r="B12">
            <v>67</v>
          </cell>
        </row>
        <row r="13">
          <cell r="A13">
            <v>11</v>
          </cell>
          <cell r="B13">
            <v>65</v>
          </cell>
        </row>
        <row r="14">
          <cell r="A14">
            <v>12</v>
          </cell>
          <cell r="B14">
            <v>63</v>
          </cell>
        </row>
        <row r="15">
          <cell r="A15">
            <v>13</v>
          </cell>
          <cell r="B15">
            <v>61</v>
          </cell>
        </row>
        <row r="16">
          <cell r="A16">
            <v>14</v>
          </cell>
          <cell r="B16">
            <v>59</v>
          </cell>
        </row>
        <row r="17">
          <cell r="A17">
            <v>15</v>
          </cell>
          <cell r="B17">
            <v>57</v>
          </cell>
        </row>
        <row r="18">
          <cell r="A18">
            <v>16</v>
          </cell>
          <cell r="B18">
            <v>55</v>
          </cell>
        </row>
        <row r="19">
          <cell r="A19">
            <v>17</v>
          </cell>
          <cell r="B19">
            <v>53</v>
          </cell>
        </row>
        <row r="20">
          <cell r="A20">
            <v>18</v>
          </cell>
          <cell r="B20">
            <v>51</v>
          </cell>
        </row>
        <row r="21">
          <cell r="A21">
            <v>19</v>
          </cell>
          <cell r="B21">
            <v>49</v>
          </cell>
        </row>
        <row r="22">
          <cell r="A22">
            <v>20</v>
          </cell>
          <cell r="B22">
            <v>47</v>
          </cell>
        </row>
        <row r="23">
          <cell r="A23">
            <v>21</v>
          </cell>
          <cell r="B23">
            <v>45</v>
          </cell>
        </row>
        <row r="24">
          <cell r="A24">
            <v>22</v>
          </cell>
          <cell r="B24">
            <v>43</v>
          </cell>
        </row>
        <row r="25">
          <cell r="A25">
            <v>23</v>
          </cell>
          <cell r="B25">
            <v>41</v>
          </cell>
        </row>
        <row r="26">
          <cell r="A26">
            <v>24</v>
          </cell>
          <cell r="B26">
            <v>39</v>
          </cell>
        </row>
        <row r="27">
          <cell r="A27">
            <v>25</v>
          </cell>
          <cell r="B27">
            <v>37</v>
          </cell>
        </row>
        <row r="28">
          <cell r="A28">
            <v>26</v>
          </cell>
          <cell r="B28">
            <v>35</v>
          </cell>
        </row>
        <row r="29">
          <cell r="A29">
            <v>27</v>
          </cell>
          <cell r="B29">
            <v>33</v>
          </cell>
        </row>
        <row r="30">
          <cell r="A30">
            <v>28</v>
          </cell>
          <cell r="B30">
            <v>31</v>
          </cell>
        </row>
        <row r="31">
          <cell r="A31">
            <v>29</v>
          </cell>
          <cell r="B31">
            <v>29</v>
          </cell>
        </row>
        <row r="32">
          <cell r="A32">
            <v>30</v>
          </cell>
          <cell r="B32">
            <v>27</v>
          </cell>
        </row>
        <row r="33">
          <cell r="A33">
            <v>31</v>
          </cell>
          <cell r="B33">
            <v>26</v>
          </cell>
        </row>
        <row r="34">
          <cell r="A34">
            <v>32</v>
          </cell>
          <cell r="B34">
            <v>25</v>
          </cell>
        </row>
        <row r="35">
          <cell r="A35">
            <v>33</v>
          </cell>
          <cell r="B35">
            <v>24</v>
          </cell>
        </row>
        <row r="36">
          <cell r="A36">
            <v>34</v>
          </cell>
          <cell r="B36">
            <v>23</v>
          </cell>
        </row>
        <row r="37">
          <cell r="A37">
            <v>35</v>
          </cell>
          <cell r="B37">
            <v>22</v>
          </cell>
        </row>
        <row r="38">
          <cell r="A38">
            <v>36</v>
          </cell>
          <cell r="B38">
            <v>21</v>
          </cell>
        </row>
        <row r="39">
          <cell r="A39">
            <v>37</v>
          </cell>
          <cell r="B39">
            <v>20</v>
          </cell>
        </row>
        <row r="40">
          <cell r="A40">
            <v>38</v>
          </cell>
          <cell r="B40">
            <v>19</v>
          </cell>
        </row>
        <row r="41">
          <cell r="A41">
            <v>39</v>
          </cell>
          <cell r="B41">
            <v>18</v>
          </cell>
        </row>
        <row r="42">
          <cell r="A42">
            <v>40</v>
          </cell>
          <cell r="B42">
            <v>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0"/>
  <sheetViews>
    <sheetView workbookViewId="0">
      <selection activeCell="K29" sqref="K29"/>
    </sheetView>
  </sheetViews>
  <sheetFormatPr defaultColWidth="14.42578125" defaultRowHeight="15" customHeight="1" x14ac:dyDescent="0.25"/>
  <cols>
    <col min="1" max="2" width="8.7109375" customWidth="1"/>
    <col min="3" max="3" width="1.42578125" customWidth="1"/>
    <col min="4" max="11" width="8.7109375" customWidth="1"/>
  </cols>
  <sheetData>
    <row r="1" spans="1:5" x14ac:dyDescent="0.25">
      <c r="A1" s="36" t="s">
        <v>0</v>
      </c>
      <c r="B1" s="37"/>
      <c r="C1" s="1"/>
      <c r="D1" s="36" t="s">
        <v>1</v>
      </c>
      <c r="E1" s="37"/>
    </row>
    <row r="2" spans="1:5" x14ac:dyDescent="0.25">
      <c r="A2" s="2" t="s">
        <v>2</v>
      </c>
      <c r="B2" s="2" t="s">
        <v>3</v>
      </c>
      <c r="C2" s="1"/>
      <c r="D2" s="2" t="s">
        <v>2</v>
      </c>
      <c r="E2" s="2" t="s">
        <v>3</v>
      </c>
    </row>
    <row r="3" spans="1:5" x14ac:dyDescent="0.25">
      <c r="A3" s="3">
        <v>1</v>
      </c>
      <c r="B3" s="3">
        <v>100</v>
      </c>
      <c r="C3" s="1"/>
      <c r="D3" s="3">
        <v>1</v>
      </c>
      <c r="E3" s="3">
        <v>50</v>
      </c>
    </row>
    <row r="4" spans="1:5" x14ac:dyDescent="0.25">
      <c r="A4" s="3">
        <v>2</v>
      </c>
      <c r="B4" s="3">
        <v>95</v>
      </c>
      <c r="C4" s="1"/>
      <c r="D4" s="3">
        <v>2</v>
      </c>
      <c r="E4" s="3">
        <v>48</v>
      </c>
    </row>
    <row r="5" spans="1:5" x14ac:dyDescent="0.25">
      <c r="A5" s="3">
        <v>3</v>
      </c>
      <c r="B5" s="3">
        <v>90</v>
      </c>
      <c r="C5" s="1"/>
      <c r="D5" s="3">
        <v>3</v>
      </c>
      <c r="E5" s="3">
        <v>46</v>
      </c>
    </row>
    <row r="6" spans="1:5" x14ac:dyDescent="0.25">
      <c r="A6" s="3">
        <v>4</v>
      </c>
      <c r="B6" s="3">
        <v>85</v>
      </c>
      <c r="C6" s="1"/>
      <c r="D6" s="3">
        <v>4</v>
      </c>
      <c r="E6" s="3">
        <v>44</v>
      </c>
    </row>
    <row r="7" spans="1:5" x14ac:dyDescent="0.25">
      <c r="A7" s="3">
        <v>5</v>
      </c>
      <c r="B7" s="3">
        <v>80</v>
      </c>
      <c r="C7" s="1"/>
      <c r="D7" s="3">
        <v>5</v>
      </c>
      <c r="E7" s="3">
        <v>42</v>
      </c>
    </row>
    <row r="8" spans="1:5" x14ac:dyDescent="0.25">
      <c r="A8" s="3">
        <v>6</v>
      </c>
      <c r="B8" s="3">
        <v>75</v>
      </c>
      <c r="C8" s="1"/>
      <c r="D8" s="3">
        <v>6</v>
      </c>
      <c r="E8" s="3">
        <v>41</v>
      </c>
    </row>
    <row r="9" spans="1:5" x14ac:dyDescent="0.25">
      <c r="A9" s="3">
        <v>7</v>
      </c>
      <c r="B9" s="3">
        <v>73</v>
      </c>
      <c r="C9" s="1"/>
      <c r="D9" s="3">
        <v>7</v>
      </c>
      <c r="E9" s="3">
        <v>40</v>
      </c>
    </row>
    <row r="10" spans="1:5" x14ac:dyDescent="0.25">
      <c r="A10" s="3">
        <v>8</v>
      </c>
      <c r="B10" s="3">
        <v>71</v>
      </c>
      <c r="C10" s="1"/>
      <c r="D10" s="3">
        <v>8</v>
      </c>
      <c r="E10" s="3">
        <v>39</v>
      </c>
    </row>
    <row r="11" spans="1:5" x14ac:dyDescent="0.25">
      <c r="A11" s="3">
        <v>9</v>
      </c>
      <c r="B11" s="3">
        <v>69</v>
      </c>
      <c r="C11" s="1"/>
      <c r="D11" s="3">
        <v>9</v>
      </c>
      <c r="E11" s="3">
        <v>38</v>
      </c>
    </row>
    <row r="12" spans="1:5" x14ac:dyDescent="0.25">
      <c r="A12" s="3">
        <v>10</v>
      </c>
      <c r="B12" s="3">
        <v>67</v>
      </c>
      <c r="C12" s="1"/>
      <c r="D12" s="3">
        <v>10</v>
      </c>
      <c r="E12" s="3">
        <v>37</v>
      </c>
    </row>
    <row r="13" spans="1:5" x14ac:dyDescent="0.25">
      <c r="A13" s="3">
        <v>11</v>
      </c>
      <c r="B13" s="3">
        <v>65</v>
      </c>
      <c r="C13" s="1"/>
      <c r="D13" s="3">
        <v>11</v>
      </c>
      <c r="E13" s="3">
        <v>36</v>
      </c>
    </row>
    <row r="14" spans="1:5" x14ac:dyDescent="0.25">
      <c r="A14" s="3">
        <v>12</v>
      </c>
      <c r="B14" s="3">
        <v>63</v>
      </c>
      <c r="C14" s="1"/>
      <c r="D14" s="3">
        <v>12</v>
      </c>
      <c r="E14" s="3">
        <v>35</v>
      </c>
    </row>
    <row r="15" spans="1:5" x14ac:dyDescent="0.25">
      <c r="A15" s="3">
        <v>13</v>
      </c>
      <c r="B15" s="3">
        <v>61</v>
      </c>
      <c r="C15" s="1"/>
      <c r="D15" s="3">
        <v>13</v>
      </c>
      <c r="E15" s="3">
        <v>34</v>
      </c>
    </row>
    <row r="16" spans="1:5" x14ac:dyDescent="0.25">
      <c r="A16" s="3">
        <v>14</v>
      </c>
      <c r="B16" s="3">
        <v>59</v>
      </c>
      <c r="C16" s="1"/>
      <c r="D16" s="3">
        <v>14</v>
      </c>
      <c r="E16" s="3">
        <v>33</v>
      </c>
    </row>
    <row r="17" spans="1:5" x14ac:dyDescent="0.25">
      <c r="A17" s="3">
        <v>15</v>
      </c>
      <c r="B17" s="3">
        <v>57</v>
      </c>
      <c r="C17" s="1"/>
      <c r="D17" s="3">
        <v>15</v>
      </c>
      <c r="E17" s="3">
        <v>32</v>
      </c>
    </row>
    <row r="18" spans="1:5" x14ac:dyDescent="0.25">
      <c r="A18" s="3">
        <v>16</v>
      </c>
      <c r="B18" s="3">
        <v>55</v>
      </c>
      <c r="C18" s="1"/>
      <c r="D18" s="3">
        <v>16</v>
      </c>
      <c r="E18" s="3">
        <v>31</v>
      </c>
    </row>
    <row r="19" spans="1:5" x14ac:dyDescent="0.25">
      <c r="A19" s="3">
        <v>17</v>
      </c>
      <c r="B19" s="3">
        <v>53</v>
      </c>
      <c r="C19" s="1"/>
      <c r="D19" s="3">
        <v>17</v>
      </c>
      <c r="E19" s="3">
        <v>30</v>
      </c>
    </row>
    <row r="20" spans="1:5" x14ac:dyDescent="0.25">
      <c r="A20" s="3">
        <v>18</v>
      </c>
      <c r="B20" s="3">
        <v>51</v>
      </c>
      <c r="C20" s="1"/>
      <c r="D20" s="3">
        <v>18</v>
      </c>
      <c r="E20" s="3">
        <v>29</v>
      </c>
    </row>
    <row r="21" spans="1:5" ht="15.75" customHeight="1" x14ac:dyDescent="0.25">
      <c r="A21" s="3">
        <v>19</v>
      </c>
      <c r="B21" s="3">
        <v>49</v>
      </c>
      <c r="C21" s="1"/>
      <c r="D21" s="3">
        <v>19</v>
      </c>
      <c r="E21" s="3">
        <v>28</v>
      </c>
    </row>
    <row r="22" spans="1:5" ht="15.75" customHeight="1" x14ac:dyDescent="0.25">
      <c r="A22" s="3">
        <v>20</v>
      </c>
      <c r="B22" s="3">
        <v>47</v>
      </c>
      <c r="C22" s="1"/>
      <c r="D22" s="3">
        <v>20</v>
      </c>
      <c r="E22" s="3">
        <v>27</v>
      </c>
    </row>
    <row r="23" spans="1:5" ht="15.75" customHeight="1" x14ac:dyDescent="0.25">
      <c r="A23" s="3">
        <v>21</v>
      </c>
      <c r="B23" s="3">
        <v>45</v>
      </c>
      <c r="C23" s="1"/>
      <c r="D23" s="3">
        <v>21</v>
      </c>
      <c r="E23" s="3">
        <v>26</v>
      </c>
    </row>
    <row r="24" spans="1:5" ht="15.75" customHeight="1" x14ac:dyDescent="0.25">
      <c r="A24" s="3">
        <v>22</v>
      </c>
      <c r="B24" s="3">
        <v>43</v>
      </c>
      <c r="C24" s="1"/>
      <c r="D24" s="3">
        <v>22</v>
      </c>
      <c r="E24" s="3">
        <v>25</v>
      </c>
    </row>
    <row r="25" spans="1:5" ht="15.75" customHeight="1" x14ac:dyDescent="0.25">
      <c r="A25" s="3">
        <v>23</v>
      </c>
      <c r="B25" s="3">
        <v>41</v>
      </c>
      <c r="C25" s="1"/>
      <c r="D25" s="3">
        <v>23</v>
      </c>
      <c r="E25" s="3">
        <v>24</v>
      </c>
    </row>
    <row r="26" spans="1:5" ht="15.75" customHeight="1" x14ac:dyDescent="0.25">
      <c r="A26" s="3">
        <v>24</v>
      </c>
      <c r="B26" s="3">
        <v>39</v>
      </c>
      <c r="C26" s="1"/>
      <c r="D26" s="3">
        <v>24</v>
      </c>
      <c r="E26" s="3">
        <v>23</v>
      </c>
    </row>
    <row r="27" spans="1:5" ht="15.75" customHeight="1" x14ac:dyDescent="0.25">
      <c r="A27" s="3">
        <v>25</v>
      </c>
      <c r="B27" s="3">
        <v>37</v>
      </c>
      <c r="C27" s="1"/>
      <c r="D27" s="3">
        <v>25</v>
      </c>
      <c r="E27" s="3">
        <v>22</v>
      </c>
    </row>
    <row r="28" spans="1:5" ht="15.75" customHeight="1" x14ac:dyDescent="0.25">
      <c r="A28" s="3">
        <v>26</v>
      </c>
      <c r="B28" s="3">
        <v>35</v>
      </c>
      <c r="C28" s="1"/>
      <c r="D28" s="3">
        <v>26</v>
      </c>
      <c r="E28" s="3">
        <v>21</v>
      </c>
    </row>
    <row r="29" spans="1:5" ht="15.75" customHeight="1" x14ac:dyDescent="0.25">
      <c r="A29" s="3">
        <v>27</v>
      </c>
      <c r="B29" s="3">
        <v>33</v>
      </c>
      <c r="C29" s="1"/>
      <c r="D29" s="3">
        <v>27</v>
      </c>
      <c r="E29" s="3">
        <v>20</v>
      </c>
    </row>
    <row r="30" spans="1:5" ht="15.75" customHeight="1" x14ac:dyDescent="0.25">
      <c r="A30" s="3">
        <v>28</v>
      </c>
      <c r="B30" s="3">
        <v>31</v>
      </c>
      <c r="C30" s="1"/>
      <c r="D30" s="3">
        <v>28</v>
      </c>
      <c r="E30" s="3">
        <v>19</v>
      </c>
    </row>
    <row r="31" spans="1:5" ht="15.75" customHeight="1" x14ac:dyDescent="0.25">
      <c r="A31" s="3">
        <v>29</v>
      </c>
      <c r="B31" s="3">
        <v>29</v>
      </c>
      <c r="C31" s="1"/>
      <c r="D31" s="3">
        <v>29</v>
      </c>
      <c r="E31" s="3">
        <v>18</v>
      </c>
    </row>
    <row r="32" spans="1:5" ht="15.75" customHeight="1" x14ac:dyDescent="0.25">
      <c r="A32" s="3">
        <v>30</v>
      </c>
      <c r="B32" s="3">
        <v>27</v>
      </c>
      <c r="C32" s="1"/>
      <c r="D32" s="3">
        <v>30</v>
      </c>
      <c r="E32" s="3">
        <v>17</v>
      </c>
    </row>
    <row r="33" spans="1:5" ht="15.75" customHeight="1" x14ac:dyDescent="0.25">
      <c r="A33" s="3">
        <v>31</v>
      </c>
      <c r="B33" s="3">
        <v>26</v>
      </c>
      <c r="C33" s="1"/>
      <c r="D33" s="3">
        <v>31</v>
      </c>
      <c r="E33" s="3">
        <v>16</v>
      </c>
    </row>
    <row r="34" spans="1:5" ht="15.75" customHeight="1" x14ac:dyDescent="0.25">
      <c r="A34" s="3">
        <v>32</v>
      </c>
      <c r="B34" s="3">
        <v>25</v>
      </c>
      <c r="C34" s="1"/>
      <c r="D34" s="3">
        <v>32</v>
      </c>
      <c r="E34" s="3">
        <v>15</v>
      </c>
    </row>
    <row r="35" spans="1:5" ht="15.75" customHeight="1" x14ac:dyDescent="0.25">
      <c r="A35" s="3">
        <v>33</v>
      </c>
      <c r="B35" s="3">
        <v>24</v>
      </c>
      <c r="C35" s="1"/>
      <c r="D35" s="3">
        <v>33</v>
      </c>
      <c r="E35" s="3">
        <v>14</v>
      </c>
    </row>
    <row r="36" spans="1:5" ht="15.75" customHeight="1" x14ac:dyDescent="0.25">
      <c r="A36" s="3">
        <v>34</v>
      </c>
      <c r="B36" s="3">
        <v>23</v>
      </c>
      <c r="C36" s="1"/>
      <c r="D36" s="3">
        <v>34</v>
      </c>
      <c r="E36" s="3">
        <v>13</v>
      </c>
    </row>
    <row r="37" spans="1:5" ht="15.75" customHeight="1" x14ac:dyDescent="0.25">
      <c r="A37" s="3">
        <v>35</v>
      </c>
      <c r="B37" s="3">
        <v>22</v>
      </c>
      <c r="C37" s="1"/>
      <c r="D37" s="3">
        <v>35</v>
      </c>
      <c r="E37" s="3">
        <v>12</v>
      </c>
    </row>
    <row r="38" spans="1:5" ht="15.75" customHeight="1" x14ac:dyDescent="0.25">
      <c r="A38" s="3">
        <v>36</v>
      </c>
      <c r="B38" s="3">
        <v>21</v>
      </c>
      <c r="C38" s="1"/>
      <c r="D38" s="3">
        <v>36</v>
      </c>
      <c r="E38" s="3">
        <v>11</v>
      </c>
    </row>
    <row r="39" spans="1:5" ht="15.75" customHeight="1" x14ac:dyDescent="0.25">
      <c r="A39" s="3">
        <v>37</v>
      </c>
      <c r="B39" s="3">
        <v>20</v>
      </c>
      <c r="C39" s="1"/>
      <c r="D39" s="3">
        <v>37</v>
      </c>
      <c r="E39" s="3">
        <v>10</v>
      </c>
    </row>
    <row r="40" spans="1:5" ht="15.75" customHeight="1" x14ac:dyDescent="0.25">
      <c r="A40" s="3">
        <v>38</v>
      </c>
      <c r="B40" s="3">
        <v>19</v>
      </c>
      <c r="C40" s="1"/>
      <c r="D40" s="3">
        <v>38</v>
      </c>
      <c r="E40" s="3">
        <v>9</v>
      </c>
    </row>
    <row r="41" spans="1:5" ht="15.75" customHeight="1" x14ac:dyDescent="0.25">
      <c r="A41" s="3">
        <v>39</v>
      </c>
      <c r="B41" s="3">
        <v>18</v>
      </c>
      <c r="C41" s="1"/>
      <c r="D41" s="3">
        <v>39</v>
      </c>
      <c r="E41" s="3">
        <v>8</v>
      </c>
    </row>
    <row r="42" spans="1:5" ht="15.75" customHeight="1" x14ac:dyDescent="0.25">
      <c r="A42" s="3">
        <v>40</v>
      </c>
      <c r="B42" s="3">
        <v>17</v>
      </c>
      <c r="C42" s="1"/>
      <c r="D42" s="3">
        <v>40</v>
      </c>
      <c r="E42" s="3">
        <v>7</v>
      </c>
    </row>
    <row r="43" spans="1:5" ht="15.75" customHeight="1" x14ac:dyDescent="0.25"/>
    <row r="44" spans="1:5" ht="15.75" customHeight="1" x14ac:dyDescent="0.25"/>
    <row r="45" spans="1:5" ht="15.75" customHeight="1" x14ac:dyDescent="0.25"/>
    <row r="46" spans="1:5" ht="15.75" customHeight="1" x14ac:dyDescent="0.25"/>
    <row r="47" spans="1:5" ht="15.75" customHeight="1" x14ac:dyDescent="0.25"/>
    <row r="48" spans="1: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A1:B1"/>
    <mergeCell ref="D1:E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J89"/>
  <sheetViews>
    <sheetView topLeftCell="B4" zoomScaleNormal="100" workbookViewId="0">
      <selection activeCell="J10" sqref="J10"/>
    </sheetView>
  </sheetViews>
  <sheetFormatPr defaultColWidth="14.42578125" defaultRowHeight="15" customHeight="1" outlineLevelRow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3.85546875" bestFit="1" customWidth="1"/>
    <col min="6" max="6" width="1.42578125" customWidth="1"/>
    <col min="7" max="9" width="5.5703125" style="29" customWidth="1" outlineLevel="1"/>
    <col min="10" max="10" width="7.85546875" bestFit="1" customWidth="1"/>
    <col min="11" max="11" width="7.140625" bestFit="1" customWidth="1"/>
    <col min="12" max="12" width="6.85546875" bestFit="1" customWidth="1"/>
    <col min="13" max="13" width="1.42578125" customWidth="1"/>
    <col min="14" max="14" width="6.85546875" customWidth="1"/>
    <col min="15" max="15" width="7.140625" bestFit="1" customWidth="1"/>
    <col min="16" max="16" width="6.85546875" bestFit="1" customWidth="1"/>
    <col min="17" max="17" width="1.42578125" customWidth="1"/>
    <col min="18" max="18" width="6.85546875" customWidth="1"/>
    <col min="19" max="19" width="7.140625" bestFit="1" customWidth="1"/>
    <col min="20" max="20" width="6.85546875" bestFit="1" customWidth="1"/>
    <col min="21" max="21" width="1.42578125" customWidth="1"/>
    <col min="22" max="22" width="6.5703125" customWidth="1" outlineLevel="1"/>
    <col min="23" max="23" width="9.140625" customWidth="1" outlineLevel="1"/>
    <col min="24" max="24" width="6" customWidth="1" outlineLevel="1"/>
    <col min="25" max="25" width="7" bestFit="1" customWidth="1"/>
    <col min="26" max="26" width="7.140625" customWidth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bestFit="1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bestFit="1" customWidth="1" collapsed="1"/>
    <col min="36" max="36" width="6.85546875" bestFit="1" customWidth="1"/>
  </cols>
  <sheetData>
    <row r="1" spans="2:36" ht="15" customHeight="1" outlineLevel="1" x14ac:dyDescent="0.25">
      <c r="B1" s="40" t="s">
        <v>18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2:36" ht="15" customHeight="1" outlineLevel="1" x14ac:dyDescent="0.25">
      <c r="B2" s="40" t="s">
        <v>19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2:36" ht="15" customHeight="1" outlineLevel="1" x14ac:dyDescent="0.25">
      <c r="B3" s="40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2:36" ht="15" customHeight="1" outlineLevel="1" x14ac:dyDescent="0.25">
      <c r="B4" s="41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2:36" ht="15" customHeight="1" outlineLevel="1" x14ac:dyDescent="0.25"/>
    <row r="6" spans="2:36" ht="18.75" outlineLevel="1" x14ac:dyDescent="0.25">
      <c r="B6" s="42" t="s">
        <v>73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2:36" ht="18.75" outlineLevel="1" x14ac:dyDescent="0.25">
      <c r="B7" s="42" t="s">
        <v>74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2:36" ht="18.75" outlineLevel="1" x14ac:dyDescent="0.25">
      <c r="B8" s="42" t="s">
        <v>24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2:36" ht="18.75" outlineLevel="1" x14ac:dyDescent="0.25">
      <c r="B9" s="42" t="s">
        <v>22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2:36" ht="15" customHeight="1" outlineLevel="1" x14ac:dyDescent="0.3">
      <c r="I10" s="31"/>
    </row>
    <row r="11" spans="2:36" ht="25.5" outlineLevel="1" x14ac:dyDescent="0.25">
      <c r="B11" s="43" t="s">
        <v>21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3" spans="2:36" hidden="1" outlineLevel="1" x14ac:dyDescent="0.25">
      <c r="E13" s="12"/>
      <c r="G13" s="32"/>
      <c r="H13" s="32"/>
      <c r="I13" s="32"/>
      <c r="J13" s="20"/>
      <c r="K13" s="20"/>
      <c r="L13" s="21">
        <v>1</v>
      </c>
      <c r="M13" s="22"/>
      <c r="N13" s="20"/>
      <c r="O13" s="4"/>
      <c r="P13" s="9">
        <v>1</v>
      </c>
      <c r="Q13" s="22"/>
      <c r="R13" s="20"/>
      <c r="S13" s="20"/>
      <c r="T13" s="9">
        <v>1</v>
      </c>
      <c r="U13" s="22"/>
      <c r="V13" s="20"/>
      <c r="W13" s="20"/>
      <c r="X13" s="20"/>
      <c r="Y13" s="20"/>
      <c r="Z13" s="20"/>
      <c r="AA13" s="21">
        <v>1</v>
      </c>
      <c r="AB13" s="22"/>
      <c r="AC13" s="20"/>
      <c r="AD13" s="20"/>
      <c r="AE13" s="22"/>
      <c r="AF13" s="22"/>
      <c r="AG13" s="20"/>
      <c r="AH13" s="4"/>
      <c r="AI13" s="22"/>
      <c r="AJ13" s="9">
        <v>1</v>
      </c>
    </row>
    <row r="14" spans="2:36" hidden="1" outlineLevel="1" x14ac:dyDescent="0.25">
      <c r="E14" s="12"/>
      <c r="G14" s="32"/>
      <c r="H14" s="32"/>
      <c r="I14" s="32"/>
      <c r="J14" s="20"/>
      <c r="K14" s="20"/>
      <c r="L14" s="20"/>
      <c r="M14" s="22"/>
      <c r="N14" s="20"/>
      <c r="O14" s="20"/>
      <c r="P14" s="20"/>
      <c r="Q14" s="22"/>
      <c r="R14" s="20"/>
      <c r="S14" s="20"/>
      <c r="T14" s="20"/>
      <c r="U14" s="22"/>
      <c r="V14" s="20"/>
      <c r="W14" s="20"/>
      <c r="X14" s="20"/>
      <c r="Y14" s="20"/>
      <c r="Z14" s="20"/>
      <c r="AA14" s="20"/>
      <c r="AB14" s="22"/>
      <c r="AC14" s="20"/>
      <c r="AD14" s="20"/>
      <c r="AE14" s="20"/>
      <c r="AF14" s="23">
        <v>360</v>
      </c>
      <c r="AG14" s="20"/>
      <c r="AH14" s="20"/>
      <c r="AI14" s="20"/>
      <c r="AJ14" s="22"/>
    </row>
    <row r="15" spans="2:36" hidden="1" outlineLevel="1" x14ac:dyDescent="0.25">
      <c r="E15" s="12"/>
      <c r="G15" s="33"/>
      <c r="H15" s="33"/>
      <c r="I15" s="33"/>
      <c r="J15" s="4"/>
      <c r="K15" s="20"/>
      <c r="L15" s="20"/>
      <c r="M15" s="22"/>
      <c r="N15" s="20"/>
      <c r="O15" s="20"/>
      <c r="P15" s="20"/>
      <c r="Q15" s="22"/>
      <c r="R15" s="20"/>
      <c r="S15" s="20"/>
      <c r="T15" s="20"/>
      <c r="U15" s="22"/>
      <c r="V15" s="20"/>
      <c r="W15" s="20"/>
      <c r="X15" s="20"/>
      <c r="Y15" s="20"/>
      <c r="Z15" s="20"/>
      <c r="AA15" s="20"/>
      <c r="AB15" s="22"/>
      <c r="AC15" s="4"/>
      <c r="AD15" s="20"/>
      <c r="AE15" s="20"/>
      <c r="AF15" s="20" t="s">
        <v>43</v>
      </c>
      <c r="AG15" s="20"/>
      <c r="AH15" s="20"/>
      <c r="AI15" s="20"/>
      <c r="AJ15" s="22"/>
    </row>
    <row r="16" spans="2:36" hidden="1" outlineLevel="1" x14ac:dyDescent="0.25">
      <c r="G16" s="32"/>
      <c r="H16" s="32"/>
      <c r="I16" s="32"/>
      <c r="J16" s="20"/>
      <c r="K16" s="20"/>
      <c r="L16" s="20"/>
      <c r="M16" s="22"/>
      <c r="N16" s="20"/>
      <c r="O16" s="20"/>
      <c r="P16" s="20"/>
      <c r="Q16" s="22"/>
      <c r="R16" s="20"/>
      <c r="S16" s="20"/>
      <c r="T16" s="20"/>
      <c r="U16" s="22"/>
      <c r="V16" s="20"/>
      <c r="W16" s="20"/>
      <c r="X16" s="20"/>
      <c r="Y16" s="20"/>
      <c r="Z16" s="20"/>
      <c r="AA16" s="20"/>
      <c r="AB16" s="22"/>
      <c r="AC16" s="20"/>
      <c r="AD16" s="20"/>
      <c r="AE16" s="20"/>
      <c r="AF16" s="22"/>
      <c r="AG16" s="20"/>
      <c r="AH16" s="20"/>
      <c r="AI16" s="20"/>
      <c r="AJ16" s="22"/>
    </row>
    <row r="17" spans="1:36" ht="15" customHeight="1" collapsed="1" x14ac:dyDescent="0.25">
      <c r="B17" s="38" t="s">
        <v>4</v>
      </c>
      <c r="C17" s="44"/>
      <c r="D17" s="5"/>
      <c r="E17" s="38" t="s">
        <v>39</v>
      </c>
      <c r="F17" s="5"/>
      <c r="G17" s="45" t="s">
        <v>44</v>
      </c>
      <c r="H17" s="46"/>
      <c r="I17" s="46"/>
      <c r="J17" s="46"/>
      <c r="K17" s="46"/>
      <c r="L17" s="47"/>
      <c r="M17" s="24"/>
      <c r="N17" s="45" t="s">
        <v>45</v>
      </c>
      <c r="O17" s="46"/>
      <c r="P17" s="47"/>
      <c r="Q17" s="24"/>
      <c r="R17" s="45" t="s">
        <v>5</v>
      </c>
      <c r="S17" s="46"/>
      <c r="T17" s="47"/>
      <c r="U17" s="25"/>
      <c r="V17" s="45" t="s">
        <v>6</v>
      </c>
      <c r="W17" s="46"/>
      <c r="X17" s="46"/>
      <c r="Y17" s="46"/>
      <c r="Z17" s="46"/>
      <c r="AA17" s="47"/>
      <c r="AB17" s="25"/>
      <c r="AC17" s="38" t="s">
        <v>7</v>
      </c>
      <c r="AD17" s="38"/>
      <c r="AE17" s="38"/>
      <c r="AF17" s="38"/>
      <c r="AG17" s="38"/>
      <c r="AH17" s="38"/>
      <c r="AI17" s="38"/>
      <c r="AJ17" s="38"/>
    </row>
    <row r="18" spans="1:36" x14ac:dyDescent="0.25">
      <c r="B18" s="44"/>
      <c r="C18" s="44"/>
      <c r="D18" s="6"/>
      <c r="E18" s="44"/>
      <c r="F18" s="6"/>
      <c r="G18" s="48"/>
      <c r="H18" s="49"/>
      <c r="I18" s="49"/>
      <c r="J18" s="49"/>
      <c r="K18" s="49"/>
      <c r="L18" s="50"/>
      <c r="M18" s="6"/>
      <c r="N18" s="48"/>
      <c r="O18" s="49"/>
      <c r="P18" s="50"/>
      <c r="Q18" s="6"/>
      <c r="R18" s="48"/>
      <c r="S18" s="49"/>
      <c r="T18" s="50"/>
      <c r="U18" s="26"/>
      <c r="V18" s="48"/>
      <c r="W18" s="49"/>
      <c r="X18" s="49"/>
      <c r="Y18" s="49"/>
      <c r="Z18" s="49"/>
      <c r="AA18" s="50"/>
      <c r="AB18" s="26"/>
      <c r="AC18" s="38"/>
      <c r="AD18" s="38"/>
      <c r="AE18" s="38"/>
      <c r="AF18" s="38"/>
      <c r="AG18" s="38"/>
      <c r="AH18" s="38"/>
      <c r="AI18" s="38"/>
      <c r="AJ18" s="38"/>
    </row>
    <row r="19" spans="1:36" ht="25.5" x14ac:dyDescent="0.25">
      <c r="A19" s="19"/>
      <c r="B19" s="11" t="s">
        <v>8</v>
      </c>
      <c r="C19" s="11" t="s">
        <v>9</v>
      </c>
      <c r="D19" s="30"/>
      <c r="E19" s="13" t="s">
        <v>10</v>
      </c>
      <c r="F19" s="30"/>
      <c r="G19" s="11" t="s">
        <v>46</v>
      </c>
      <c r="H19" s="11" t="s">
        <v>47</v>
      </c>
      <c r="I19" s="11" t="s">
        <v>48</v>
      </c>
      <c r="J19" s="10" t="s">
        <v>49</v>
      </c>
      <c r="K19" s="10" t="s">
        <v>14</v>
      </c>
      <c r="L19" s="10" t="s">
        <v>15</v>
      </c>
      <c r="M19" s="30"/>
      <c r="N19" s="11" t="s">
        <v>16</v>
      </c>
      <c r="O19" s="10" t="s">
        <v>14</v>
      </c>
      <c r="P19" s="10" t="s">
        <v>15</v>
      </c>
      <c r="Q19" s="30"/>
      <c r="R19" s="11" t="s">
        <v>16</v>
      </c>
      <c r="S19" s="10" t="s">
        <v>14</v>
      </c>
      <c r="T19" s="10" t="s">
        <v>15</v>
      </c>
      <c r="U19" s="30"/>
      <c r="V19" s="10" t="s">
        <v>50</v>
      </c>
      <c r="W19" s="10" t="s">
        <v>51</v>
      </c>
      <c r="X19" s="10" t="s">
        <v>52</v>
      </c>
      <c r="Y19" s="10" t="s">
        <v>53</v>
      </c>
      <c r="Z19" s="10" t="s">
        <v>14</v>
      </c>
      <c r="AA19" s="10" t="s">
        <v>15</v>
      </c>
      <c r="AB19" s="30"/>
      <c r="AC19" s="10" t="s">
        <v>11</v>
      </c>
      <c r="AD19" s="10" t="s">
        <v>12</v>
      </c>
      <c r="AE19" s="10" t="s">
        <v>13</v>
      </c>
      <c r="AF19" s="11" t="s">
        <v>16</v>
      </c>
      <c r="AG19" s="10" t="s">
        <v>17</v>
      </c>
      <c r="AH19" s="10" t="s">
        <v>13</v>
      </c>
      <c r="AI19" s="10" t="s">
        <v>14</v>
      </c>
      <c r="AJ19" s="10" t="s">
        <v>15</v>
      </c>
    </row>
    <row r="20" spans="1:36" x14ac:dyDescent="0.25">
      <c r="A20" s="19"/>
      <c r="B20" s="5">
        <f>RANK(C20,C$20:C$24,0)</f>
        <v>1</v>
      </c>
      <c r="C20" s="5">
        <f>SUMIF($G$13:$AJ$13,1,$G20:$AJ20)</f>
        <v>475</v>
      </c>
      <c r="D20" s="8"/>
      <c r="E20" s="14" t="s">
        <v>28</v>
      </c>
      <c r="F20" s="8"/>
      <c r="G20" s="34">
        <v>75</v>
      </c>
      <c r="H20" s="34">
        <v>72</v>
      </c>
      <c r="I20" s="34">
        <v>70</v>
      </c>
      <c r="J20" s="24">
        <f>G20+H20+I20</f>
        <v>217</v>
      </c>
      <c r="K20" s="24">
        <f>RANK(J20,J$20:J$24,0)</f>
        <v>4</v>
      </c>
      <c r="L20" s="24">
        <f>VLOOKUP(K20,'[1]Место-баллы'!$A$3:$B$52,2,0)</f>
        <v>85</v>
      </c>
      <c r="M20" s="27"/>
      <c r="N20" s="24">
        <f>20+34+30</f>
        <v>84</v>
      </c>
      <c r="O20" s="24">
        <f>RANK(N20,N$20:N$24,0)</f>
        <v>1</v>
      </c>
      <c r="P20" s="24">
        <f>VLOOKUP(O20,'[1]Место-баллы'!$A$3:$B$52,2,0)</f>
        <v>100</v>
      </c>
      <c r="Q20" s="27"/>
      <c r="R20" s="24">
        <v>264</v>
      </c>
      <c r="S20" s="24">
        <f>RANK(R20,R$20:R$24,0)</f>
        <v>1</v>
      </c>
      <c r="T20" s="24">
        <f>VLOOKUP(S20,'[1]Место-баллы'!$A$3:$B$52,2,0)</f>
        <v>100</v>
      </c>
      <c r="U20" s="27"/>
      <c r="V20" s="24">
        <v>35</v>
      </c>
      <c r="W20" s="24">
        <v>25</v>
      </c>
      <c r="X20" s="24">
        <v>10</v>
      </c>
      <c r="Y20" s="24">
        <f>V20+W20+X20</f>
        <v>70</v>
      </c>
      <c r="Z20" s="24">
        <f>RANK(Y20,Y$20:Y$24,0)</f>
        <v>3</v>
      </c>
      <c r="AA20" s="24">
        <f>VLOOKUP(Z20,'[1]Место-баллы'!$A$3:$B$52,2,0)</f>
        <v>90</v>
      </c>
      <c r="AB20" s="27"/>
      <c r="AC20" s="24">
        <v>7</v>
      </c>
      <c r="AD20" s="24">
        <v>31</v>
      </c>
      <c r="AE20" s="28">
        <f>TIME(0,AC20,AD20)</f>
        <v>5.2199074074074066E-3</v>
      </c>
      <c r="AF20" s="24">
        <v>360</v>
      </c>
      <c r="AG20" s="24">
        <f>AF$14-AF20</f>
        <v>0</v>
      </c>
      <c r="AH20" s="28">
        <f>AE20+TIME(0,0,AG20)</f>
        <v>5.2199074074074066E-3</v>
      </c>
      <c r="AI20" s="24">
        <f>RANK(AH20,AH$20:AH$24,1)</f>
        <v>1</v>
      </c>
      <c r="AJ20" s="24">
        <f>VLOOKUP(AI20,'[1]Место-баллы'!$A$3:$B$52,2,0)</f>
        <v>100</v>
      </c>
    </row>
    <row r="21" spans="1:36" x14ac:dyDescent="0.25">
      <c r="A21" s="19"/>
      <c r="B21" s="5">
        <f>RANK(C21,C$20:C$24,0)</f>
        <v>2</v>
      </c>
      <c r="C21" s="5">
        <f>SUMIF($G$13:$AJ$13,1,$G21:$AJ21)</f>
        <v>465</v>
      </c>
      <c r="D21" s="8"/>
      <c r="E21" s="14" t="s">
        <v>55</v>
      </c>
      <c r="F21" s="8"/>
      <c r="G21" s="34">
        <v>68</v>
      </c>
      <c r="H21" s="34">
        <v>73</v>
      </c>
      <c r="I21" s="34">
        <v>78</v>
      </c>
      <c r="J21" s="24">
        <f>G21+H21+I21</f>
        <v>219</v>
      </c>
      <c r="K21" s="24">
        <f>RANK(J21,J$20:J$24,0)</f>
        <v>3</v>
      </c>
      <c r="L21" s="24">
        <f>VLOOKUP(K21,'[1]Место-баллы'!$A$3:$B$52,2,0)</f>
        <v>90</v>
      </c>
      <c r="M21" s="27"/>
      <c r="N21" s="24">
        <f>6+30+27</f>
        <v>63</v>
      </c>
      <c r="O21" s="24">
        <f>RANK(N21,N$20:N$24,0)</f>
        <v>4</v>
      </c>
      <c r="P21" s="24">
        <f>VLOOKUP(O21,'[1]Место-баллы'!$A$3:$B$52,2,0)</f>
        <v>85</v>
      </c>
      <c r="Q21" s="27"/>
      <c r="R21" s="24">
        <v>264</v>
      </c>
      <c r="S21" s="24">
        <f>RANK(R21,R$20:R$24,0)</f>
        <v>1</v>
      </c>
      <c r="T21" s="24">
        <f>VLOOKUP(S21,'[1]Место-баллы'!$A$3:$B$52,2,0)</f>
        <v>100</v>
      </c>
      <c r="U21" s="27"/>
      <c r="V21" s="24">
        <v>33</v>
      </c>
      <c r="W21" s="24">
        <v>27</v>
      </c>
      <c r="X21" s="24">
        <v>18</v>
      </c>
      <c r="Y21" s="24">
        <f>V21+W21+X21</f>
        <v>78</v>
      </c>
      <c r="Z21" s="24">
        <f>RANK(Y21,Y$20:Y$24,0)</f>
        <v>2</v>
      </c>
      <c r="AA21" s="24">
        <f>VLOOKUP(Z21,'[1]Место-баллы'!$A$3:$B$52,2,0)</f>
        <v>95</v>
      </c>
      <c r="AB21" s="27"/>
      <c r="AC21" s="24">
        <v>8</v>
      </c>
      <c r="AD21" s="24">
        <v>10</v>
      </c>
      <c r="AE21" s="28">
        <f>TIME(0,AC21,AD21)</f>
        <v>5.6712962962962958E-3</v>
      </c>
      <c r="AF21" s="24">
        <v>360</v>
      </c>
      <c r="AG21" s="24">
        <f>AF$14-AF21</f>
        <v>0</v>
      </c>
      <c r="AH21" s="28">
        <f>AE21+TIME(0,0,AG21)</f>
        <v>5.6712962962962958E-3</v>
      </c>
      <c r="AI21" s="24">
        <f>RANK(AH21,AH$20:AH$24,1)</f>
        <v>2</v>
      </c>
      <c r="AJ21" s="24">
        <f>VLOOKUP(AI21,'[1]Место-баллы'!$A$3:$B$52,2,0)</f>
        <v>95</v>
      </c>
    </row>
    <row r="22" spans="1:36" x14ac:dyDescent="0.25">
      <c r="A22" s="19"/>
      <c r="B22" s="5">
        <f>RANK(C22,C$20:C$24,0)</f>
        <v>3</v>
      </c>
      <c r="C22" s="5">
        <f>SUMIF($G$13:$AJ$13,1,$G22:$AJ22)</f>
        <v>460</v>
      </c>
      <c r="D22" s="8"/>
      <c r="E22" s="14" t="s">
        <v>54</v>
      </c>
      <c r="F22" s="8"/>
      <c r="G22" s="34">
        <v>75</v>
      </c>
      <c r="H22" s="34">
        <v>71</v>
      </c>
      <c r="I22" s="34">
        <v>76</v>
      </c>
      <c r="J22" s="24">
        <f>G22+H22+I22</f>
        <v>222</v>
      </c>
      <c r="K22" s="24">
        <f>RANK(J22,J$20:J$24,0)</f>
        <v>2</v>
      </c>
      <c r="L22" s="24">
        <f>VLOOKUP(K22,'[1]Место-баллы'!$A$3:$B$52,2,0)</f>
        <v>95</v>
      </c>
      <c r="M22" s="27"/>
      <c r="N22" s="24">
        <f>14+33+30</f>
        <v>77</v>
      </c>
      <c r="O22" s="24">
        <f>RANK(N22,N$20:N$24,0)</f>
        <v>2</v>
      </c>
      <c r="P22" s="24">
        <f>VLOOKUP(O22,'[1]Место-баллы'!$A$3:$B$52,2,0)</f>
        <v>95</v>
      </c>
      <c r="Q22" s="27"/>
      <c r="R22" s="24">
        <v>258</v>
      </c>
      <c r="S22" s="24">
        <f>RANK(R22,R$20:R$24,0)</f>
        <v>3</v>
      </c>
      <c r="T22" s="24">
        <f>VLOOKUP(S22,'[1]Место-баллы'!$A$3:$B$52,2,0)</f>
        <v>90</v>
      </c>
      <c r="U22" s="27"/>
      <c r="V22" s="24">
        <v>42</v>
      </c>
      <c r="W22" s="24">
        <v>24</v>
      </c>
      <c r="X22" s="24">
        <v>17</v>
      </c>
      <c r="Y22" s="24">
        <f>V22+W22+X22</f>
        <v>83</v>
      </c>
      <c r="Z22" s="24">
        <f>RANK(Y22,Y$20:Y$24,0)</f>
        <v>1</v>
      </c>
      <c r="AA22" s="24">
        <f>VLOOKUP(Z22,'[1]Место-баллы'!$A$3:$B$52,2,0)</f>
        <v>100</v>
      </c>
      <c r="AB22" s="27"/>
      <c r="AC22" s="24">
        <v>10</v>
      </c>
      <c r="AD22" s="24">
        <v>5</v>
      </c>
      <c r="AE22" s="28">
        <f>TIME(0,AC22,AD22)</f>
        <v>7.0023148148148154E-3</v>
      </c>
      <c r="AF22" s="24">
        <v>354</v>
      </c>
      <c r="AG22" s="24">
        <f>AF$14-AF22</f>
        <v>6</v>
      </c>
      <c r="AH22" s="28">
        <f>AE22+TIME(0,0,AG22)</f>
        <v>7.0717592592592594E-3</v>
      </c>
      <c r="AI22" s="24">
        <f>RANK(AH22,AH$20:AH$24,1)</f>
        <v>5</v>
      </c>
      <c r="AJ22" s="24">
        <f>VLOOKUP(AI22,'[1]Место-баллы'!$A$3:$B$52,2,0)</f>
        <v>80</v>
      </c>
    </row>
    <row r="23" spans="1:36" x14ac:dyDescent="0.25">
      <c r="A23" s="19"/>
      <c r="B23" s="5">
        <f>RANK(C23,C$20:C$24,0)</f>
        <v>4</v>
      </c>
      <c r="C23" s="5">
        <f>SUMIF($G$13:$AJ$13,1,$G23:$AJ23)</f>
        <v>440</v>
      </c>
      <c r="D23" s="8"/>
      <c r="E23" s="14" t="s">
        <v>56</v>
      </c>
      <c r="F23" s="8"/>
      <c r="G23" s="34">
        <v>75</v>
      </c>
      <c r="H23" s="34">
        <v>78</v>
      </c>
      <c r="I23" s="34">
        <v>75</v>
      </c>
      <c r="J23" s="24">
        <f>G23+H23+I23</f>
        <v>228</v>
      </c>
      <c r="K23" s="24">
        <f>RANK(J23,J$20:J$24,0)</f>
        <v>1</v>
      </c>
      <c r="L23" s="24">
        <f>VLOOKUP(K23,'[1]Место-баллы'!$A$3:$B$52,2,0)</f>
        <v>100</v>
      </c>
      <c r="M23" s="27"/>
      <c r="N23" s="24">
        <f>15+23+21</f>
        <v>59</v>
      </c>
      <c r="O23" s="24">
        <f>RANK(N23,N$20:N$24,0)</f>
        <v>5</v>
      </c>
      <c r="P23" s="24">
        <f>VLOOKUP(O23,'[1]Место-баллы'!$A$3:$B$52,2,0)</f>
        <v>80</v>
      </c>
      <c r="Q23" s="27"/>
      <c r="R23" s="24">
        <v>214</v>
      </c>
      <c r="S23" s="24">
        <f>RANK(R23,R$20:R$24,0)</f>
        <v>4</v>
      </c>
      <c r="T23" s="24">
        <f>VLOOKUP(S23,'[1]Место-баллы'!$A$3:$B$52,2,0)</f>
        <v>85</v>
      </c>
      <c r="U23" s="27"/>
      <c r="V23" s="24">
        <v>35</v>
      </c>
      <c r="W23" s="24">
        <v>18</v>
      </c>
      <c r="X23" s="24">
        <v>14</v>
      </c>
      <c r="Y23" s="24">
        <f>V23+W23+X23</f>
        <v>67</v>
      </c>
      <c r="Z23" s="24">
        <f>RANK(Y23,Y$20:Y$24,0)</f>
        <v>4</v>
      </c>
      <c r="AA23" s="24">
        <f>VLOOKUP(Z23,'[1]Место-баллы'!$A$3:$B$52,2,0)</f>
        <v>85</v>
      </c>
      <c r="AB23" s="27"/>
      <c r="AC23" s="24">
        <v>8</v>
      </c>
      <c r="AD23" s="24">
        <v>30</v>
      </c>
      <c r="AE23" s="28">
        <f>TIME(0,AC23,AD23)</f>
        <v>5.9027777777777776E-3</v>
      </c>
      <c r="AF23" s="24">
        <v>360</v>
      </c>
      <c r="AG23" s="24">
        <f>AF$14-AF23</f>
        <v>0</v>
      </c>
      <c r="AH23" s="28">
        <f>AE23+TIME(0,0,AG23)</f>
        <v>5.9027777777777776E-3</v>
      </c>
      <c r="AI23" s="24">
        <f>RANK(AH23,AH$20:AH$24,1)</f>
        <v>3</v>
      </c>
      <c r="AJ23" s="24">
        <f>VLOOKUP(AI23,'[1]Место-баллы'!$A$3:$B$52,2,0)</f>
        <v>90</v>
      </c>
    </row>
    <row r="24" spans="1:36" x14ac:dyDescent="0.25">
      <c r="A24" s="19"/>
      <c r="B24" s="5">
        <f>RANK(C24,C$20:C$24,0)</f>
        <v>5</v>
      </c>
      <c r="C24" s="5">
        <f>SUMIF($G$13:$AJ$13,1,$G24:$AJ24)</f>
        <v>415</v>
      </c>
      <c r="D24" s="8"/>
      <c r="E24" s="14" t="s">
        <v>29</v>
      </c>
      <c r="F24" s="8"/>
      <c r="G24" s="34">
        <v>45</v>
      </c>
      <c r="H24" s="34">
        <v>45</v>
      </c>
      <c r="I24" s="34">
        <v>45</v>
      </c>
      <c r="J24" s="24">
        <f>G24+H24+I24</f>
        <v>135</v>
      </c>
      <c r="K24" s="24">
        <f>RANK(J24,J$20:J$24,0)</f>
        <v>5</v>
      </c>
      <c r="L24" s="24">
        <f>VLOOKUP(K24,'[1]Место-баллы'!$A$3:$B$52,2,0)</f>
        <v>80</v>
      </c>
      <c r="M24" s="27"/>
      <c r="N24" s="24">
        <f>25+26+23-5</f>
        <v>69</v>
      </c>
      <c r="O24" s="24">
        <f>RANK(N24,N$20:N$24,0)</f>
        <v>3</v>
      </c>
      <c r="P24" s="24">
        <f>VLOOKUP(O24,'[1]Место-баллы'!$A$3:$B$52,2,0)</f>
        <v>90</v>
      </c>
      <c r="Q24" s="27"/>
      <c r="R24" s="24">
        <v>201</v>
      </c>
      <c r="S24" s="24">
        <f>RANK(R24,R$20:R$24,0)</f>
        <v>5</v>
      </c>
      <c r="T24" s="24">
        <f>VLOOKUP(S24,'[1]Место-баллы'!$A$3:$B$52,2,0)</f>
        <v>80</v>
      </c>
      <c r="U24" s="27"/>
      <c r="V24" s="24">
        <v>25</v>
      </c>
      <c r="W24" s="24">
        <v>21</v>
      </c>
      <c r="X24" s="24">
        <v>1</v>
      </c>
      <c r="Y24" s="24">
        <f>V24+W24+X24</f>
        <v>47</v>
      </c>
      <c r="Z24" s="24">
        <f>RANK(Y24,Y$20:Y$24,0)</f>
        <v>5</v>
      </c>
      <c r="AA24" s="24">
        <f>VLOOKUP(Z24,'[1]Место-баллы'!$A$3:$B$52,2,0)</f>
        <v>80</v>
      </c>
      <c r="AB24" s="27"/>
      <c r="AC24" s="24">
        <v>9</v>
      </c>
      <c r="AD24" s="24">
        <v>1</v>
      </c>
      <c r="AE24" s="28">
        <f>TIME(0,AC24,AD24)</f>
        <v>6.2615740740740748E-3</v>
      </c>
      <c r="AF24" s="24">
        <v>360</v>
      </c>
      <c r="AG24" s="24">
        <f>AF$14-AF24</f>
        <v>0</v>
      </c>
      <c r="AH24" s="28">
        <f>AE24+TIME(0,0,AG24)</f>
        <v>6.2615740740740748E-3</v>
      </c>
      <c r="AI24" s="24">
        <f>RANK(AH24,AH$20:AH$24,1)</f>
        <v>4</v>
      </c>
      <c r="AJ24" s="24">
        <f>VLOOKUP(AI24,'[1]Место-баллы'!$A$3:$B$52,2,0)</f>
        <v>85</v>
      </c>
    </row>
    <row r="25" spans="1:36" ht="15.75" customHeight="1" x14ac:dyDescent="0.25">
      <c r="A25" s="19"/>
    </row>
    <row r="26" spans="1:36" ht="15.75" customHeight="1" x14ac:dyDescent="0.25"/>
    <row r="27" spans="1:36" ht="15.75" customHeight="1" outlineLevel="1" x14ac:dyDescent="0.35">
      <c r="B27" s="39" t="s">
        <v>36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</row>
    <row r="28" spans="1:36" ht="15.75" customHeight="1" outlineLevel="1" x14ac:dyDescent="0.25">
      <c r="B28" s="16"/>
      <c r="C28" s="16"/>
      <c r="D28" s="16"/>
      <c r="E28" s="16"/>
    </row>
    <row r="29" spans="1:36" ht="15.75" customHeight="1" outlineLevel="1" x14ac:dyDescent="0.35">
      <c r="B29" s="39" t="s">
        <v>37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36" ht="15.75" customHeight="1" x14ac:dyDescent="0.25"/>
    <row r="31" spans="1:36" ht="15.75" customHeight="1" x14ac:dyDescent="0.25"/>
    <row r="32" spans="1:36" ht="15.75" customHeight="1" x14ac:dyDescent="0.25"/>
    <row r="33" spans="7:9" s="18" customFormat="1" ht="15.75" customHeight="1" x14ac:dyDescent="0.25">
      <c r="G33" s="35"/>
      <c r="H33" s="35"/>
      <c r="I33" s="35"/>
    </row>
    <row r="34" spans="7:9" ht="15.75" customHeight="1" x14ac:dyDescent="0.25"/>
    <row r="35" spans="7:9" ht="15.75" customHeight="1" x14ac:dyDescent="0.25"/>
    <row r="36" spans="7:9" ht="15.75" customHeight="1" x14ac:dyDescent="0.25"/>
    <row r="37" spans="7:9" ht="15.75" customHeight="1" x14ac:dyDescent="0.25"/>
    <row r="38" spans="7:9" ht="15.75" customHeight="1" x14ac:dyDescent="0.25"/>
    <row r="39" spans="7:9" ht="15.75" customHeight="1" x14ac:dyDescent="0.25"/>
    <row r="40" spans="7:9" ht="15.75" customHeight="1" x14ac:dyDescent="0.25"/>
    <row r="41" spans="7:9" ht="15.75" customHeight="1" x14ac:dyDescent="0.25"/>
    <row r="42" spans="7:9" ht="15.75" customHeight="1" x14ac:dyDescent="0.25"/>
    <row r="43" spans="7:9" ht="15.75" customHeight="1" x14ac:dyDescent="0.25"/>
    <row r="44" spans="7:9" ht="15.75" customHeight="1" x14ac:dyDescent="0.25"/>
    <row r="45" spans="7:9" ht="15.75" customHeight="1" x14ac:dyDescent="0.25"/>
    <row r="46" spans="7:9" ht="15.75" customHeight="1" x14ac:dyDescent="0.25"/>
    <row r="47" spans="7:9" ht="15.75" customHeight="1" x14ac:dyDescent="0.25"/>
    <row r="48" spans="7: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</sheetData>
  <autoFilter ref="B19:AJ19" xr:uid="{3EEA6033-E60E-4727-A7C8-967DF604D7B3}">
    <sortState ref="B20:AJ24">
      <sortCondition ref="B19"/>
    </sortState>
  </autoFilter>
  <mergeCells count="18">
    <mergeCell ref="R17:T18"/>
    <mergeCell ref="V17:AA18"/>
    <mergeCell ref="AC17:AJ18"/>
    <mergeCell ref="B27:L27"/>
    <mergeCell ref="B29:L29"/>
    <mergeCell ref="B1:AJ1"/>
    <mergeCell ref="B2:AJ2"/>
    <mergeCell ref="B3:AJ3"/>
    <mergeCell ref="B4:AJ4"/>
    <mergeCell ref="B6:AJ6"/>
    <mergeCell ref="B7:AJ7"/>
    <mergeCell ref="B8:AJ8"/>
    <mergeCell ref="B9:AJ9"/>
    <mergeCell ref="B11:AJ11"/>
    <mergeCell ref="B17:C18"/>
    <mergeCell ref="E17:E18"/>
    <mergeCell ref="G17:L18"/>
    <mergeCell ref="N17:P18"/>
  </mergeCells>
  <printOptions horizontalCentered="1" verticalCentered="1"/>
  <pageMargins left="0" right="0" top="0.59055118110236227" bottom="0" header="0" footer="0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88"/>
  <sheetViews>
    <sheetView topLeftCell="A7" zoomScaleNormal="100" workbookViewId="0">
      <selection activeCell="L25" sqref="L25"/>
    </sheetView>
  </sheetViews>
  <sheetFormatPr defaultColWidth="14.42578125" defaultRowHeight="15" customHeight="1" outlineLevelRow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19.85546875" bestFit="1" customWidth="1"/>
    <col min="6" max="6" width="1.42578125" customWidth="1"/>
    <col min="7" max="9" width="5.5703125" customWidth="1" outlineLevel="1"/>
    <col min="10" max="10" width="7.85546875" bestFit="1" customWidth="1"/>
    <col min="11" max="11" width="7.140625" bestFit="1" customWidth="1"/>
    <col min="12" max="12" width="6.85546875" bestFit="1" customWidth="1"/>
    <col min="13" max="13" width="1.42578125" customWidth="1"/>
    <col min="14" max="14" width="6.85546875" customWidth="1"/>
    <col min="15" max="15" width="7.140625" bestFit="1" customWidth="1"/>
    <col min="16" max="16" width="6.85546875" bestFit="1" customWidth="1"/>
    <col min="17" max="17" width="1.42578125" customWidth="1"/>
    <col min="18" max="18" width="6.85546875" customWidth="1"/>
    <col min="19" max="19" width="7.140625" bestFit="1" customWidth="1"/>
    <col min="20" max="20" width="6.85546875" bestFit="1" customWidth="1"/>
    <col min="21" max="21" width="1.42578125" customWidth="1"/>
    <col min="22" max="22" width="6.5703125" customWidth="1" outlineLevel="1"/>
    <col min="23" max="23" width="9.140625" customWidth="1" outlineLevel="1"/>
    <col min="24" max="24" width="6" customWidth="1" outlineLevel="1"/>
    <col min="25" max="25" width="7" bestFit="1" customWidth="1"/>
    <col min="26" max="26" width="7.140625" customWidth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bestFit="1" customWidth="1" collapsed="1"/>
    <col min="32" max="32" width="6.42578125" customWidth="1"/>
    <col min="33" max="33" width="7.85546875" hidden="1" customWidth="1" outlineLevel="1"/>
    <col min="34" max="34" width="7.140625" hidden="1" customWidth="1" outlineLevel="1"/>
    <col min="35" max="35" width="7.140625" bestFit="1" customWidth="1" collapsed="1"/>
    <col min="36" max="36" width="6.85546875" bestFit="1" customWidth="1"/>
  </cols>
  <sheetData>
    <row r="1" spans="2:36" ht="15" customHeight="1" outlineLevel="1" x14ac:dyDescent="0.25">
      <c r="B1" s="40" t="s">
        <v>18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2:36" ht="15" customHeight="1" outlineLevel="1" x14ac:dyDescent="0.25">
      <c r="B2" s="40" t="s">
        <v>19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2:36" ht="15" customHeight="1" outlineLevel="1" x14ac:dyDescent="0.25">
      <c r="B3" s="40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2:36" ht="15" customHeight="1" outlineLevel="1" x14ac:dyDescent="0.25">
      <c r="B4" s="41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2:36" ht="15" customHeight="1" outlineLevel="1" x14ac:dyDescent="0.25">
      <c r="G5" s="29"/>
      <c r="H5" s="29"/>
      <c r="I5" s="29"/>
    </row>
    <row r="6" spans="2:36" ht="18.75" outlineLevel="1" x14ac:dyDescent="0.25">
      <c r="B6" s="42" t="s">
        <v>73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2:36" ht="18.75" outlineLevel="1" x14ac:dyDescent="0.25">
      <c r="B7" s="42" t="s">
        <v>74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2:36" ht="18.75" outlineLevel="1" x14ac:dyDescent="0.25">
      <c r="B8" s="42" t="s">
        <v>24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2:36" ht="18.75" outlineLevel="1" x14ac:dyDescent="0.25">
      <c r="B9" s="42" t="s">
        <v>25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2:36" ht="15" customHeight="1" outlineLevel="1" x14ac:dyDescent="0.3">
      <c r="I10" s="15"/>
    </row>
    <row r="11" spans="2:36" ht="25.5" outlineLevel="1" x14ac:dyDescent="0.25">
      <c r="B11" s="43" t="s">
        <v>21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2:36" ht="15" customHeight="1" x14ac:dyDescent="0.25">
      <c r="G12" s="29"/>
      <c r="H12" s="29"/>
      <c r="I12" s="29"/>
    </row>
    <row r="13" spans="2:36" hidden="1" outlineLevel="1" x14ac:dyDescent="0.25">
      <c r="E13" s="12"/>
      <c r="G13" s="32"/>
      <c r="H13" s="32"/>
      <c r="I13" s="32"/>
      <c r="J13" s="20"/>
      <c r="K13" s="20"/>
      <c r="L13" s="21">
        <v>1</v>
      </c>
      <c r="M13" s="22"/>
      <c r="N13" s="20"/>
      <c r="O13" s="4"/>
      <c r="P13" s="9">
        <v>1</v>
      </c>
      <c r="Q13" s="22"/>
      <c r="R13" s="20"/>
      <c r="S13" s="20"/>
      <c r="T13" s="9">
        <v>1</v>
      </c>
      <c r="U13" s="22"/>
      <c r="V13" s="20"/>
      <c r="W13" s="20"/>
      <c r="X13" s="20"/>
      <c r="Y13" s="20"/>
      <c r="Z13" s="20"/>
      <c r="AA13" s="21">
        <v>1</v>
      </c>
      <c r="AB13" s="22"/>
      <c r="AC13" s="20"/>
      <c r="AD13" s="20"/>
      <c r="AE13" s="22"/>
      <c r="AF13" s="22"/>
      <c r="AG13" s="20"/>
      <c r="AH13" s="4"/>
      <c r="AI13" s="22"/>
      <c r="AJ13" s="9">
        <v>1</v>
      </c>
    </row>
    <row r="14" spans="2:36" hidden="1" outlineLevel="1" x14ac:dyDescent="0.25">
      <c r="E14" s="12"/>
      <c r="G14" s="32"/>
      <c r="H14" s="32"/>
      <c r="I14" s="32"/>
      <c r="J14" s="20"/>
      <c r="K14" s="20"/>
      <c r="L14" s="20"/>
      <c r="M14" s="22"/>
      <c r="N14" s="20"/>
      <c r="O14" s="20"/>
      <c r="P14" s="20"/>
      <c r="Q14" s="22"/>
      <c r="R14" s="20"/>
      <c r="S14" s="20"/>
      <c r="T14" s="20"/>
      <c r="U14" s="22"/>
      <c r="V14" s="20"/>
      <c r="W14" s="20"/>
      <c r="X14" s="20"/>
      <c r="Y14" s="20"/>
      <c r="Z14" s="20"/>
      <c r="AA14" s="20"/>
      <c r="AB14" s="22"/>
      <c r="AC14" s="20"/>
      <c r="AD14" s="20"/>
      <c r="AE14" s="20"/>
      <c r="AF14" s="23">
        <v>360</v>
      </c>
      <c r="AG14" s="20"/>
      <c r="AH14" s="20"/>
      <c r="AI14" s="20"/>
      <c r="AJ14" s="22"/>
    </row>
    <row r="15" spans="2:36" hidden="1" outlineLevel="1" x14ac:dyDescent="0.25">
      <c r="E15" s="12"/>
      <c r="G15" s="33"/>
      <c r="H15" s="33"/>
      <c r="I15" s="33"/>
      <c r="J15" s="4"/>
      <c r="K15" s="20"/>
      <c r="L15" s="20"/>
      <c r="M15" s="22"/>
      <c r="N15" s="20"/>
      <c r="O15" s="20"/>
      <c r="P15" s="20"/>
      <c r="Q15" s="22"/>
      <c r="R15" s="20"/>
      <c r="S15" s="20"/>
      <c r="T15" s="20"/>
      <c r="U15" s="22"/>
      <c r="V15" s="20"/>
      <c r="W15" s="20"/>
      <c r="X15" s="20"/>
      <c r="Y15" s="20"/>
      <c r="Z15" s="20"/>
      <c r="AA15" s="20"/>
      <c r="AB15" s="22"/>
      <c r="AC15" s="4"/>
      <c r="AD15" s="20"/>
      <c r="AE15" s="20"/>
      <c r="AF15" s="20" t="s">
        <v>43</v>
      </c>
      <c r="AG15" s="20"/>
      <c r="AH15" s="20"/>
      <c r="AI15" s="20"/>
      <c r="AJ15" s="22"/>
    </row>
    <row r="16" spans="2:36" hidden="1" outlineLevel="1" x14ac:dyDescent="0.25">
      <c r="G16" s="32"/>
      <c r="H16" s="32"/>
      <c r="I16" s="32"/>
      <c r="J16" s="20"/>
      <c r="K16" s="20"/>
      <c r="L16" s="20"/>
      <c r="M16" s="22"/>
      <c r="N16" s="20"/>
      <c r="O16" s="20"/>
      <c r="P16" s="20"/>
      <c r="Q16" s="22"/>
      <c r="R16" s="20"/>
      <c r="S16" s="20"/>
      <c r="T16" s="20"/>
      <c r="U16" s="22"/>
      <c r="V16" s="20"/>
      <c r="W16" s="20"/>
      <c r="X16" s="20"/>
      <c r="Y16" s="20"/>
      <c r="Z16" s="20"/>
      <c r="AA16" s="20"/>
      <c r="AB16" s="22"/>
      <c r="AC16" s="20"/>
      <c r="AD16" s="20"/>
      <c r="AE16" s="20"/>
      <c r="AF16" s="22"/>
      <c r="AG16" s="20"/>
      <c r="AH16" s="20"/>
      <c r="AI16" s="20"/>
      <c r="AJ16" s="22"/>
    </row>
    <row r="17" spans="1:36" ht="15" customHeight="1" collapsed="1" x14ac:dyDescent="0.25">
      <c r="B17" s="38" t="s">
        <v>4</v>
      </c>
      <c r="C17" s="44"/>
      <c r="D17" s="5"/>
      <c r="E17" s="38" t="s">
        <v>38</v>
      </c>
      <c r="F17" s="5"/>
      <c r="G17" s="45" t="s">
        <v>44</v>
      </c>
      <c r="H17" s="46"/>
      <c r="I17" s="46"/>
      <c r="J17" s="46"/>
      <c r="K17" s="46"/>
      <c r="L17" s="47"/>
      <c r="M17" s="24"/>
      <c r="N17" s="45" t="s">
        <v>45</v>
      </c>
      <c r="O17" s="46"/>
      <c r="P17" s="47"/>
      <c r="Q17" s="24"/>
      <c r="R17" s="45" t="s">
        <v>5</v>
      </c>
      <c r="S17" s="46"/>
      <c r="T17" s="47"/>
      <c r="U17" s="25"/>
      <c r="V17" s="45" t="s">
        <v>6</v>
      </c>
      <c r="W17" s="46"/>
      <c r="X17" s="46"/>
      <c r="Y17" s="46"/>
      <c r="Z17" s="46"/>
      <c r="AA17" s="47"/>
      <c r="AB17" s="25"/>
      <c r="AC17" s="38" t="s">
        <v>7</v>
      </c>
      <c r="AD17" s="38"/>
      <c r="AE17" s="38"/>
      <c r="AF17" s="38"/>
      <c r="AG17" s="38"/>
      <c r="AH17" s="38"/>
      <c r="AI17" s="38"/>
      <c r="AJ17" s="38"/>
    </row>
    <row r="18" spans="1:36" x14ac:dyDescent="0.25">
      <c r="B18" s="44"/>
      <c r="C18" s="44"/>
      <c r="D18" s="6"/>
      <c r="E18" s="44"/>
      <c r="F18" s="6"/>
      <c r="G18" s="48"/>
      <c r="H18" s="49"/>
      <c r="I18" s="49"/>
      <c r="J18" s="49"/>
      <c r="K18" s="49"/>
      <c r="L18" s="50"/>
      <c r="M18" s="6"/>
      <c r="N18" s="48"/>
      <c r="O18" s="49"/>
      <c r="P18" s="50"/>
      <c r="Q18" s="6"/>
      <c r="R18" s="48"/>
      <c r="S18" s="49"/>
      <c r="T18" s="50"/>
      <c r="U18" s="26"/>
      <c r="V18" s="48"/>
      <c r="W18" s="49"/>
      <c r="X18" s="49"/>
      <c r="Y18" s="49"/>
      <c r="Z18" s="49"/>
      <c r="AA18" s="50"/>
      <c r="AB18" s="26"/>
      <c r="AC18" s="38"/>
      <c r="AD18" s="38"/>
      <c r="AE18" s="38"/>
      <c r="AF18" s="38"/>
      <c r="AG18" s="38"/>
      <c r="AH18" s="38"/>
      <c r="AI18" s="38"/>
      <c r="AJ18" s="38"/>
    </row>
    <row r="19" spans="1:36" ht="38.25" x14ac:dyDescent="0.25">
      <c r="B19" s="11" t="s">
        <v>8</v>
      </c>
      <c r="C19" s="11" t="s">
        <v>9</v>
      </c>
      <c r="D19" s="7"/>
      <c r="E19" s="13" t="s">
        <v>10</v>
      </c>
      <c r="F19" s="7"/>
      <c r="G19" s="11" t="s">
        <v>46</v>
      </c>
      <c r="H19" s="11" t="s">
        <v>47</v>
      </c>
      <c r="I19" s="11" t="s">
        <v>48</v>
      </c>
      <c r="J19" s="10" t="s">
        <v>49</v>
      </c>
      <c r="K19" s="10" t="s">
        <v>14</v>
      </c>
      <c r="L19" s="10" t="s">
        <v>15</v>
      </c>
      <c r="M19" s="30"/>
      <c r="N19" s="11" t="s">
        <v>16</v>
      </c>
      <c r="O19" s="10" t="s">
        <v>14</v>
      </c>
      <c r="P19" s="10" t="s">
        <v>15</v>
      </c>
      <c r="Q19" s="30"/>
      <c r="R19" s="11" t="s">
        <v>16</v>
      </c>
      <c r="S19" s="10" t="s">
        <v>14</v>
      </c>
      <c r="T19" s="10" t="s">
        <v>15</v>
      </c>
      <c r="U19" s="30"/>
      <c r="V19" s="10" t="s">
        <v>50</v>
      </c>
      <c r="W19" s="10" t="s">
        <v>51</v>
      </c>
      <c r="X19" s="10" t="s">
        <v>52</v>
      </c>
      <c r="Y19" s="10" t="s">
        <v>53</v>
      </c>
      <c r="Z19" s="10" t="s">
        <v>14</v>
      </c>
      <c r="AA19" s="10" t="s">
        <v>15</v>
      </c>
      <c r="AB19" s="30"/>
      <c r="AC19" s="10" t="s">
        <v>11</v>
      </c>
      <c r="AD19" s="10" t="s">
        <v>12</v>
      </c>
      <c r="AE19" s="10" t="s">
        <v>13</v>
      </c>
      <c r="AF19" s="11" t="s">
        <v>16</v>
      </c>
      <c r="AG19" s="10" t="s">
        <v>17</v>
      </c>
      <c r="AH19" s="10" t="s">
        <v>13</v>
      </c>
      <c r="AI19" s="10" t="s">
        <v>14</v>
      </c>
      <c r="AJ19" s="10" t="s">
        <v>15</v>
      </c>
    </row>
    <row r="20" spans="1:36" x14ac:dyDescent="0.25">
      <c r="A20" s="19"/>
      <c r="B20" s="5">
        <f>RANK(C20,C$20:C$23,0)</f>
        <v>1</v>
      </c>
      <c r="C20" s="5">
        <f>SUMIF($G$13:$AJ$13,1,$G20:$AJ20)</f>
        <v>480</v>
      </c>
      <c r="D20" s="8"/>
      <c r="E20" s="14" t="s">
        <v>57</v>
      </c>
      <c r="F20" s="8"/>
      <c r="G20" s="34">
        <v>77</v>
      </c>
      <c r="H20" s="34">
        <v>73</v>
      </c>
      <c r="I20" s="34">
        <v>73</v>
      </c>
      <c r="J20" s="24">
        <f>G20+H20+I20</f>
        <v>223</v>
      </c>
      <c r="K20" s="24">
        <f>RANK(J20,J$20:J$23,0)</f>
        <v>1</v>
      </c>
      <c r="L20" s="24">
        <f>VLOOKUP(K20,'[1]Место-баллы'!$A$3:$B$52,2,0)</f>
        <v>100</v>
      </c>
      <c r="M20" s="27"/>
      <c r="N20" s="24">
        <f>20+34+30</f>
        <v>84</v>
      </c>
      <c r="O20" s="24">
        <f>RANK(N20,N$20:N$23,0)</f>
        <v>3</v>
      </c>
      <c r="P20" s="24">
        <f>VLOOKUP(O20,'[1]Место-баллы'!$A$3:$B$52,2,0)</f>
        <v>90</v>
      </c>
      <c r="Q20" s="27"/>
      <c r="R20" s="24">
        <v>229</v>
      </c>
      <c r="S20" s="24">
        <f>RANK(R20,R$20:R$23,0)</f>
        <v>2</v>
      </c>
      <c r="T20" s="24">
        <f>VLOOKUP(S20,'[1]Место-баллы'!$A$3:$B$52,2,0)</f>
        <v>95</v>
      </c>
      <c r="U20" s="27"/>
      <c r="V20" s="24">
        <v>35</v>
      </c>
      <c r="W20" s="24">
        <v>21</v>
      </c>
      <c r="X20" s="24">
        <v>28</v>
      </c>
      <c r="Y20" s="24">
        <f>V20+W20+X20</f>
        <v>84</v>
      </c>
      <c r="Z20" s="24">
        <f>RANK(Y20,Y$20:Y$23,0)</f>
        <v>1</v>
      </c>
      <c r="AA20" s="24">
        <f>VLOOKUP(Z20,'[1]Место-баллы'!$A$3:$B$52,2,0)</f>
        <v>100</v>
      </c>
      <c r="AB20" s="27"/>
      <c r="AC20" s="24">
        <v>9</v>
      </c>
      <c r="AD20" s="24">
        <v>6</v>
      </c>
      <c r="AE20" s="28">
        <f>TIME(0,AC20,AD20)</f>
        <v>6.3194444444444444E-3</v>
      </c>
      <c r="AF20" s="24">
        <v>360</v>
      </c>
      <c r="AG20" s="24">
        <f>AF$14-AF20</f>
        <v>0</v>
      </c>
      <c r="AH20" s="28">
        <f>AE20+TIME(0,0,AG20)</f>
        <v>6.3194444444444444E-3</v>
      </c>
      <c r="AI20" s="24">
        <f>RANK(AH20,AH$20:AH$23,1)</f>
        <v>2</v>
      </c>
      <c r="AJ20" s="24">
        <f>VLOOKUP(AI20,'[1]Место-баллы'!$A$3:$B$52,2,0)</f>
        <v>95</v>
      </c>
    </row>
    <row r="21" spans="1:36" x14ac:dyDescent="0.25">
      <c r="A21" s="19"/>
      <c r="B21" s="5">
        <f>RANK(C21,C$20:C$23,0)</f>
        <v>2</v>
      </c>
      <c r="C21" s="5">
        <f>SUMIF($G$13:$AJ$13,1,$G21:$AJ21)</f>
        <v>475</v>
      </c>
      <c r="D21" s="8"/>
      <c r="E21" s="14" t="s">
        <v>58</v>
      </c>
      <c r="F21" s="8"/>
      <c r="G21" s="34">
        <v>73</v>
      </c>
      <c r="H21" s="34">
        <v>73</v>
      </c>
      <c r="I21" s="34">
        <v>73</v>
      </c>
      <c r="J21" s="24">
        <f>G21+H21+I21</f>
        <v>219</v>
      </c>
      <c r="K21" s="24">
        <f>RANK(J21,J$20:J$23,0)</f>
        <v>2</v>
      </c>
      <c r="L21" s="24">
        <f>VLOOKUP(K21,'[1]Место-баллы'!$A$3:$B$52,2,0)</f>
        <v>95</v>
      </c>
      <c r="M21" s="27"/>
      <c r="N21" s="24">
        <f>14+24+30</f>
        <v>68</v>
      </c>
      <c r="O21" s="24">
        <f>RANK(N21,N$20:N$23,0)</f>
        <v>4</v>
      </c>
      <c r="P21" s="24">
        <f>VLOOKUP(O21,'[1]Место-баллы'!$A$3:$B$52,2,0)</f>
        <v>85</v>
      </c>
      <c r="Q21" s="27"/>
      <c r="R21" s="24">
        <v>242</v>
      </c>
      <c r="S21" s="24">
        <f>RANK(R21,R$20:R$23,0)</f>
        <v>1</v>
      </c>
      <c r="T21" s="24">
        <f>VLOOKUP(S21,'[1]Место-баллы'!$A$3:$B$52,2,0)</f>
        <v>100</v>
      </c>
      <c r="U21" s="27"/>
      <c r="V21" s="24">
        <v>34</v>
      </c>
      <c r="W21" s="24">
        <v>27</v>
      </c>
      <c r="X21" s="24">
        <v>19</v>
      </c>
      <c r="Y21" s="24">
        <f>V21+W21+X21</f>
        <v>80</v>
      </c>
      <c r="Z21" s="24">
        <f>RANK(Y21,Y$20:Y$23,0)</f>
        <v>2</v>
      </c>
      <c r="AA21" s="24">
        <f>VLOOKUP(Z21,'[1]Место-баллы'!$A$3:$B$52,2,0)</f>
        <v>95</v>
      </c>
      <c r="AB21" s="27"/>
      <c r="AC21" s="24">
        <v>8</v>
      </c>
      <c r="AD21" s="24">
        <v>8</v>
      </c>
      <c r="AE21" s="28">
        <f>TIME(0,AC21,AD21)</f>
        <v>5.6481481481481478E-3</v>
      </c>
      <c r="AF21" s="24">
        <v>360</v>
      </c>
      <c r="AG21" s="24">
        <f>AF$14-AF21</f>
        <v>0</v>
      </c>
      <c r="AH21" s="28">
        <f>AE21+TIME(0,0,AG21)</f>
        <v>5.6481481481481478E-3</v>
      </c>
      <c r="AI21" s="24">
        <f>RANK(AH21,AH$20:AH$23,1)</f>
        <v>1</v>
      </c>
      <c r="AJ21" s="24">
        <f>VLOOKUP(AI21,'[1]Место-баллы'!$A$3:$B$52,2,0)</f>
        <v>100</v>
      </c>
    </row>
    <row r="22" spans="1:36" x14ac:dyDescent="0.25">
      <c r="A22" s="19"/>
      <c r="B22" s="5">
        <f>RANK(C22,C$20:C$23,0)</f>
        <v>3</v>
      </c>
      <c r="C22" s="5">
        <f>SUMIF($G$13:$AJ$13,1,$G22:$AJ22)</f>
        <v>450</v>
      </c>
      <c r="D22" s="8"/>
      <c r="E22" s="14" t="s">
        <v>59</v>
      </c>
      <c r="F22" s="8"/>
      <c r="G22" s="34">
        <v>0</v>
      </c>
      <c r="H22" s="34">
        <v>71</v>
      </c>
      <c r="I22" s="34">
        <v>25</v>
      </c>
      <c r="J22" s="24">
        <f>G22+H22+I22</f>
        <v>96</v>
      </c>
      <c r="K22" s="24">
        <f>RANK(J22,J$20:J$23,0)</f>
        <v>4</v>
      </c>
      <c r="L22" s="24">
        <f>VLOOKUP(K22,'[1]Место-баллы'!$A$3:$B$52,2,0)</f>
        <v>85</v>
      </c>
      <c r="M22" s="27"/>
      <c r="N22" s="24">
        <f>28+33+35</f>
        <v>96</v>
      </c>
      <c r="O22" s="24">
        <f>RANK(N22,N$20:N$23,0)</f>
        <v>1</v>
      </c>
      <c r="P22" s="24">
        <f>VLOOKUP(O22,'[1]Место-баллы'!$A$3:$B$52,2,0)</f>
        <v>100</v>
      </c>
      <c r="Q22" s="27"/>
      <c r="R22" s="24">
        <v>199</v>
      </c>
      <c r="S22" s="24">
        <f>RANK(R22,R$20:R$23,0)</f>
        <v>3</v>
      </c>
      <c r="T22" s="24">
        <f>VLOOKUP(S22,'[1]Место-баллы'!$A$3:$B$52,2,0)</f>
        <v>90</v>
      </c>
      <c r="U22" s="27"/>
      <c r="V22" s="24">
        <v>32</v>
      </c>
      <c r="W22" s="24">
        <v>15</v>
      </c>
      <c r="X22" s="24">
        <v>26</v>
      </c>
      <c r="Y22" s="24">
        <f>V22+W22+X22</f>
        <v>73</v>
      </c>
      <c r="Z22" s="24">
        <f>RANK(Y22,Y$20:Y$23,0)</f>
        <v>4</v>
      </c>
      <c r="AA22" s="24">
        <f>VLOOKUP(Z22,'[1]Место-баллы'!$A$3:$B$52,2,0)</f>
        <v>85</v>
      </c>
      <c r="AB22" s="27"/>
      <c r="AC22" s="24">
        <v>9</v>
      </c>
      <c r="AD22" s="24">
        <v>56</v>
      </c>
      <c r="AE22" s="28">
        <f>TIME(0,AC22,AD22)</f>
        <v>6.8981481481481489E-3</v>
      </c>
      <c r="AF22" s="24">
        <v>360</v>
      </c>
      <c r="AG22" s="24">
        <f>AF$14-AF22</f>
        <v>0</v>
      </c>
      <c r="AH22" s="28">
        <f>AE22+TIME(0,0,AG22)</f>
        <v>6.8981481481481489E-3</v>
      </c>
      <c r="AI22" s="24">
        <f>RANK(AH22,AH$20:AH$23,1)</f>
        <v>3</v>
      </c>
      <c r="AJ22" s="24">
        <f>VLOOKUP(AI22,'[1]Место-баллы'!$A$3:$B$52,2,0)</f>
        <v>90</v>
      </c>
    </row>
    <row r="23" spans="1:36" x14ac:dyDescent="0.25">
      <c r="A23" s="19"/>
      <c r="B23" s="5">
        <f>RANK(C23,C$20:C$23,0)</f>
        <v>4</v>
      </c>
      <c r="C23" s="5">
        <f>SUMIF($G$13:$AJ$13,1,$G23:$AJ23)</f>
        <v>445</v>
      </c>
      <c r="D23" s="8"/>
      <c r="E23" s="14" t="s">
        <v>60</v>
      </c>
      <c r="F23" s="8"/>
      <c r="G23" s="34">
        <v>70</v>
      </c>
      <c r="H23" s="34">
        <v>72</v>
      </c>
      <c r="I23" s="34">
        <v>72</v>
      </c>
      <c r="J23" s="24">
        <f>G23+H23+I23</f>
        <v>214</v>
      </c>
      <c r="K23" s="24">
        <f>RANK(J23,J$20:J$23,0)</f>
        <v>3</v>
      </c>
      <c r="L23" s="24">
        <f>VLOOKUP(K23,'[1]Место-баллы'!$A$3:$B$52,2,0)</f>
        <v>90</v>
      </c>
      <c r="M23" s="27"/>
      <c r="N23" s="24">
        <f>28+34+30</f>
        <v>92</v>
      </c>
      <c r="O23" s="24">
        <f>RANK(N23,N$20:N$23,0)</f>
        <v>2</v>
      </c>
      <c r="P23" s="24">
        <f>VLOOKUP(O23,'[1]Место-баллы'!$A$3:$B$52,2,0)</f>
        <v>95</v>
      </c>
      <c r="Q23" s="27"/>
      <c r="R23" s="24">
        <v>182</v>
      </c>
      <c r="S23" s="24">
        <f>RANK(R23,R$20:R$23,0)</f>
        <v>4</v>
      </c>
      <c r="T23" s="24">
        <f>VLOOKUP(S23,'[1]Место-баллы'!$A$3:$B$52,2,0)</f>
        <v>85</v>
      </c>
      <c r="U23" s="27"/>
      <c r="V23" s="24">
        <v>31</v>
      </c>
      <c r="W23" s="24">
        <v>17</v>
      </c>
      <c r="X23" s="24">
        <v>26</v>
      </c>
      <c r="Y23" s="24">
        <f>V23+W23+X23</f>
        <v>74</v>
      </c>
      <c r="Z23" s="24">
        <f>RANK(Y23,Y$20:Y$23,0)</f>
        <v>3</v>
      </c>
      <c r="AA23" s="24">
        <f>VLOOKUP(Z23,'[1]Место-баллы'!$A$3:$B$52,2,0)</f>
        <v>90</v>
      </c>
      <c r="AB23" s="27"/>
      <c r="AC23" s="24">
        <v>10</v>
      </c>
      <c r="AD23" s="24">
        <v>5</v>
      </c>
      <c r="AE23" s="28">
        <f>TIME(0,AC23,AD23)</f>
        <v>7.0023148148148154E-3</v>
      </c>
      <c r="AF23" s="24">
        <v>291</v>
      </c>
      <c r="AG23" s="24">
        <f>AF$14-AF23</f>
        <v>69</v>
      </c>
      <c r="AH23" s="28">
        <f>AE23+TIME(0,0,AG23)</f>
        <v>7.8009259259259264E-3</v>
      </c>
      <c r="AI23" s="24">
        <f>RANK(AH23,AH$20:AH$23,1)</f>
        <v>4</v>
      </c>
      <c r="AJ23" s="24">
        <f>VLOOKUP(AI23,'[1]Место-баллы'!$A$3:$B$52,2,0)</f>
        <v>85</v>
      </c>
    </row>
    <row r="24" spans="1:36" ht="15.75" customHeight="1" x14ac:dyDescent="0.25"/>
    <row r="25" spans="1:36" ht="15.75" customHeight="1" x14ac:dyDescent="0.25"/>
    <row r="26" spans="1:36" ht="15.75" customHeight="1" outlineLevel="1" x14ac:dyDescent="0.35">
      <c r="B26" s="39" t="s">
        <v>36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</row>
    <row r="27" spans="1:36" ht="15.75" customHeight="1" outlineLevel="1" x14ac:dyDescent="0.25">
      <c r="B27" s="16"/>
      <c r="C27" s="16"/>
      <c r="D27" s="16"/>
      <c r="E27" s="16"/>
    </row>
    <row r="28" spans="1:36" ht="15.75" customHeight="1" outlineLevel="1" x14ac:dyDescent="0.35">
      <c r="B28" s="39" t="s">
        <v>37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36" ht="15.75" customHeight="1" x14ac:dyDescent="0.25"/>
    <row r="30" spans="1:36" ht="15.75" customHeight="1" x14ac:dyDescent="0.25"/>
    <row r="31" spans="1:36" ht="15.75" customHeight="1" x14ac:dyDescent="0.25"/>
    <row r="32" spans="1:36" s="18" customFormat="1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</sheetData>
  <autoFilter ref="B19:AJ19" xr:uid="{9C6A1602-FD00-4B8B-BFBD-341C0057D39B}">
    <sortState ref="B20:AJ23">
      <sortCondition ref="B19"/>
    </sortState>
  </autoFilter>
  <mergeCells count="18">
    <mergeCell ref="R17:T18"/>
    <mergeCell ref="V17:AA18"/>
    <mergeCell ref="AC17:AJ18"/>
    <mergeCell ref="B26:L26"/>
    <mergeCell ref="B28:L28"/>
    <mergeCell ref="B1:AJ1"/>
    <mergeCell ref="B2:AJ2"/>
    <mergeCell ref="B3:AJ3"/>
    <mergeCell ref="B4:AJ4"/>
    <mergeCell ref="B6:AJ6"/>
    <mergeCell ref="B7:AJ7"/>
    <mergeCell ref="B8:AJ8"/>
    <mergeCell ref="B9:AJ9"/>
    <mergeCell ref="B11:AJ11"/>
    <mergeCell ref="B17:C18"/>
    <mergeCell ref="E17:E18"/>
    <mergeCell ref="G17:L18"/>
    <mergeCell ref="N17:P18"/>
  </mergeCells>
  <printOptions horizontalCentered="1" verticalCentered="1"/>
  <pageMargins left="0" right="0" top="0.59055118110236227" bottom="0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93"/>
  <sheetViews>
    <sheetView topLeftCell="A12" zoomScaleNormal="100" workbookViewId="0">
      <selection activeCell="P31" sqref="P31"/>
    </sheetView>
  </sheetViews>
  <sheetFormatPr defaultColWidth="14.42578125" defaultRowHeight="15" customHeight="1" outlineLevelRow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0.5703125" bestFit="1" customWidth="1"/>
    <col min="6" max="6" width="1.42578125" customWidth="1"/>
    <col min="7" max="9" width="5.5703125" hidden="1" customWidth="1" outlineLevel="1"/>
    <col min="10" max="10" width="7.85546875" bestFit="1" customWidth="1" collapsed="1"/>
    <col min="11" max="11" width="7.140625" bestFit="1" customWidth="1"/>
    <col min="12" max="12" width="6.85546875" bestFit="1" customWidth="1"/>
    <col min="13" max="13" width="1.42578125" customWidth="1"/>
    <col min="14" max="14" width="6.85546875" customWidth="1"/>
    <col min="15" max="15" width="7.140625" bestFit="1" customWidth="1"/>
    <col min="16" max="16" width="6.85546875" bestFit="1" customWidth="1"/>
    <col min="17" max="17" width="1.42578125" customWidth="1"/>
    <col min="18" max="18" width="6.85546875" customWidth="1"/>
    <col min="19" max="19" width="7.140625" bestFit="1" customWidth="1"/>
    <col min="20" max="20" width="6.85546875" bestFit="1" customWidth="1"/>
    <col min="21" max="21" width="1.42578125" customWidth="1"/>
    <col min="22" max="22" width="6.5703125" customWidth="1" outlineLevel="1"/>
    <col min="23" max="23" width="9.140625" customWidth="1" outlineLevel="1"/>
    <col min="24" max="24" width="6" customWidth="1" outlineLevel="1"/>
    <col min="25" max="25" width="7" bestFit="1" customWidth="1"/>
    <col min="26" max="26" width="7.140625" customWidth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bestFit="1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bestFit="1" customWidth="1" collapsed="1"/>
    <col min="36" max="36" width="6.85546875" bestFit="1" customWidth="1"/>
  </cols>
  <sheetData>
    <row r="1" spans="2:36" ht="15" customHeight="1" outlineLevel="1" x14ac:dyDescent="0.25">
      <c r="B1" s="40" t="s">
        <v>18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2:36" ht="15" customHeight="1" outlineLevel="1" x14ac:dyDescent="0.25">
      <c r="B2" s="40" t="s">
        <v>19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2:36" ht="15" customHeight="1" outlineLevel="1" x14ac:dyDescent="0.25">
      <c r="B3" s="40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2:36" ht="15" customHeight="1" outlineLevel="1" x14ac:dyDescent="0.25">
      <c r="B4" s="41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2:36" ht="15" customHeight="1" outlineLevel="1" x14ac:dyDescent="0.25">
      <c r="G5" s="29"/>
      <c r="H5" s="29"/>
      <c r="I5" s="29"/>
    </row>
    <row r="6" spans="2:36" ht="18.75" outlineLevel="1" x14ac:dyDescent="0.25">
      <c r="B6" s="42" t="s">
        <v>73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2:36" ht="18.75" outlineLevel="1" x14ac:dyDescent="0.25">
      <c r="B7" s="42" t="s">
        <v>74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2:36" ht="18.75" outlineLevel="1" x14ac:dyDescent="0.25">
      <c r="B8" s="42" t="s">
        <v>26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2:36" ht="18.75" outlineLevel="1" x14ac:dyDescent="0.25">
      <c r="B9" s="42" t="s">
        <v>23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2:36" ht="15" customHeight="1" outlineLevel="1" x14ac:dyDescent="0.3">
      <c r="I10" s="15"/>
    </row>
    <row r="11" spans="2:36" ht="25.5" outlineLevel="1" x14ac:dyDescent="0.25">
      <c r="B11" s="43" t="s">
        <v>21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2:36" ht="15" customHeight="1" x14ac:dyDescent="0.25">
      <c r="G12" s="29"/>
      <c r="H12" s="29"/>
      <c r="I12" s="29"/>
    </row>
    <row r="13" spans="2:36" hidden="1" outlineLevel="1" x14ac:dyDescent="0.25">
      <c r="E13" s="12"/>
      <c r="G13" s="32"/>
      <c r="H13" s="32"/>
      <c r="I13" s="32"/>
      <c r="J13" s="20"/>
      <c r="K13" s="20"/>
      <c r="L13" s="21">
        <v>1</v>
      </c>
      <c r="M13" s="22"/>
      <c r="N13" s="20"/>
      <c r="O13" s="4"/>
      <c r="P13" s="9">
        <v>1</v>
      </c>
      <c r="Q13" s="22"/>
      <c r="R13" s="20"/>
      <c r="S13" s="20"/>
      <c r="T13" s="9">
        <v>1</v>
      </c>
      <c r="U13" s="22"/>
      <c r="V13" s="20"/>
      <c r="W13" s="20"/>
      <c r="X13" s="20"/>
      <c r="Y13" s="20"/>
      <c r="Z13" s="20"/>
      <c r="AA13" s="21">
        <v>1</v>
      </c>
      <c r="AB13" s="22"/>
      <c r="AC13" s="20"/>
      <c r="AD13" s="20"/>
      <c r="AE13" s="22"/>
      <c r="AF13" s="22"/>
      <c r="AG13" s="20"/>
      <c r="AH13" s="4"/>
      <c r="AI13" s="22"/>
      <c r="AJ13" s="9">
        <v>1</v>
      </c>
    </row>
    <row r="14" spans="2:36" hidden="1" outlineLevel="1" x14ac:dyDescent="0.25">
      <c r="E14" s="12"/>
      <c r="G14" s="32"/>
      <c r="H14" s="32"/>
      <c r="I14" s="32"/>
      <c r="J14" s="20"/>
      <c r="K14" s="20"/>
      <c r="L14" s="20"/>
      <c r="M14" s="22"/>
      <c r="N14" s="20"/>
      <c r="O14" s="20"/>
      <c r="P14" s="20"/>
      <c r="Q14" s="22"/>
      <c r="R14" s="20"/>
      <c r="S14" s="20"/>
      <c r="T14" s="20"/>
      <c r="U14" s="22"/>
      <c r="V14" s="20"/>
      <c r="W14" s="20"/>
      <c r="X14" s="20"/>
      <c r="Y14" s="20"/>
      <c r="Z14" s="20"/>
      <c r="AA14" s="20"/>
      <c r="AB14" s="22"/>
      <c r="AC14" s="20"/>
      <c r="AD14" s="20"/>
      <c r="AE14" s="20"/>
      <c r="AF14" s="23">
        <v>360</v>
      </c>
      <c r="AG14" s="20"/>
      <c r="AH14" s="20"/>
      <c r="AI14" s="20"/>
      <c r="AJ14" s="22"/>
    </row>
    <row r="15" spans="2:36" hidden="1" outlineLevel="1" x14ac:dyDescent="0.25">
      <c r="E15" s="12"/>
      <c r="G15" s="33"/>
      <c r="H15" s="33"/>
      <c r="I15" s="33"/>
      <c r="J15" s="4"/>
      <c r="K15" s="20"/>
      <c r="L15" s="20"/>
      <c r="M15" s="22"/>
      <c r="N15" s="20"/>
      <c r="O15" s="20"/>
      <c r="P15" s="20"/>
      <c r="Q15" s="22"/>
      <c r="R15" s="20"/>
      <c r="S15" s="20"/>
      <c r="T15" s="20"/>
      <c r="U15" s="22"/>
      <c r="V15" s="20"/>
      <c r="W15" s="20"/>
      <c r="X15" s="20"/>
      <c r="Y15" s="20"/>
      <c r="Z15" s="20"/>
      <c r="AA15" s="20"/>
      <c r="AB15" s="22"/>
      <c r="AC15" s="4"/>
      <c r="AD15" s="20"/>
      <c r="AE15" s="20"/>
      <c r="AF15" s="20" t="s">
        <v>43</v>
      </c>
      <c r="AG15" s="20"/>
      <c r="AH15" s="20"/>
      <c r="AI15" s="20"/>
      <c r="AJ15" s="22"/>
    </row>
    <row r="16" spans="2:36" hidden="1" outlineLevel="1" x14ac:dyDescent="0.25">
      <c r="G16" s="32"/>
      <c r="H16" s="32"/>
      <c r="I16" s="32"/>
      <c r="J16" s="20"/>
      <c r="K16" s="20"/>
      <c r="L16" s="20"/>
      <c r="M16" s="22"/>
      <c r="N16" s="20"/>
      <c r="O16" s="20"/>
      <c r="P16" s="20"/>
      <c r="Q16" s="22"/>
      <c r="R16" s="20"/>
      <c r="S16" s="20"/>
      <c r="T16" s="20"/>
      <c r="U16" s="22"/>
      <c r="V16" s="20"/>
      <c r="W16" s="20"/>
      <c r="X16" s="20"/>
      <c r="Y16" s="20"/>
      <c r="Z16" s="20"/>
      <c r="AA16" s="20"/>
      <c r="AB16" s="22"/>
      <c r="AC16" s="20"/>
      <c r="AD16" s="20"/>
      <c r="AE16" s="20"/>
      <c r="AF16" s="22"/>
      <c r="AG16" s="20"/>
      <c r="AH16" s="20"/>
      <c r="AI16" s="20"/>
      <c r="AJ16" s="22"/>
    </row>
    <row r="17" spans="1:36" ht="15" customHeight="1" collapsed="1" x14ac:dyDescent="0.25">
      <c r="B17" s="38" t="s">
        <v>4</v>
      </c>
      <c r="C17" s="44"/>
      <c r="D17" s="5"/>
      <c r="E17" s="38" t="s">
        <v>40</v>
      </c>
      <c r="F17" s="5"/>
      <c r="G17" s="45" t="s">
        <v>44</v>
      </c>
      <c r="H17" s="46"/>
      <c r="I17" s="46"/>
      <c r="J17" s="46"/>
      <c r="K17" s="46"/>
      <c r="L17" s="47"/>
      <c r="M17" s="24"/>
      <c r="N17" s="45" t="s">
        <v>45</v>
      </c>
      <c r="O17" s="46"/>
      <c r="P17" s="47"/>
      <c r="Q17" s="24"/>
      <c r="R17" s="45" t="s">
        <v>5</v>
      </c>
      <c r="S17" s="46"/>
      <c r="T17" s="47"/>
      <c r="U17" s="25"/>
      <c r="V17" s="45" t="s">
        <v>6</v>
      </c>
      <c r="W17" s="46"/>
      <c r="X17" s="46"/>
      <c r="Y17" s="46"/>
      <c r="Z17" s="46"/>
      <c r="AA17" s="47"/>
      <c r="AB17" s="25"/>
      <c r="AC17" s="38" t="s">
        <v>7</v>
      </c>
      <c r="AD17" s="38"/>
      <c r="AE17" s="38"/>
      <c r="AF17" s="38"/>
      <c r="AG17" s="38"/>
      <c r="AH17" s="38"/>
      <c r="AI17" s="38"/>
      <c r="AJ17" s="38"/>
    </row>
    <row r="18" spans="1:36" x14ac:dyDescent="0.25">
      <c r="B18" s="44"/>
      <c r="C18" s="44"/>
      <c r="D18" s="6"/>
      <c r="E18" s="44"/>
      <c r="F18" s="6"/>
      <c r="G18" s="48"/>
      <c r="H18" s="49"/>
      <c r="I18" s="49"/>
      <c r="J18" s="49"/>
      <c r="K18" s="49"/>
      <c r="L18" s="50"/>
      <c r="M18" s="6"/>
      <c r="N18" s="48"/>
      <c r="O18" s="49"/>
      <c r="P18" s="50"/>
      <c r="Q18" s="6"/>
      <c r="R18" s="48"/>
      <c r="S18" s="49"/>
      <c r="T18" s="50"/>
      <c r="U18" s="26"/>
      <c r="V18" s="48"/>
      <c r="W18" s="49"/>
      <c r="X18" s="49"/>
      <c r="Y18" s="49"/>
      <c r="Z18" s="49"/>
      <c r="AA18" s="50"/>
      <c r="AB18" s="26"/>
      <c r="AC18" s="38"/>
      <c r="AD18" s="38"/>
      <c r="AE18" s="38"/>
      <c r="AF18" s="38"/>
      <c r="AG18" s="38"/>
      <c r="AH18" s="38"/>
      <c r="AI18" s="38"/>
      <c r="AJ18" s="38"/>
    </row>
    <row r="19" spans="1:36" ht="25.5" x14ac:dyDescent="0.25">
      <c r="B19" s="11" t="s">
        <v>8</v>
      </c>
      <c r="C19" s="11" t="s">
        <v>9</v>
      </c>
      <c r="D19" s="30"/>
      <c r="E19" s="13" t="s">
        <v>10</v>
      </c>
      <c r="F19" s="30"/>
      <c r="G19" s="10" t="s">
        <v>46</v>
      </c>
      <c r="H19" s="10" t="s">
        <v>47</v>
      </c>
      <c r="I19" s="10" t="s">
        <v>48</v>
      </c>
      <c r="J19" s="10" t="s">
        <v>49</v>
      </c>
      <c r="K19" s="10" t="s">
        <v>14</v>
      </c>
      <c r="L19" s="10" t="s">
        <v>15</v>
      </c>
      <c r="M19" s="30"/>
      <c r="N19" s="11" t="s">
        <v>16</v>
      </c>
      <c r="O19" s="10" t="s">
        <v>14</v>
      </c>
      <c r="P19" s="10" t="s">
        <v>15</v>
      </c>
      <c r="Q19" s="30"/>
      <c r="R19" s="11" t="s">
        <v>16</v>
      </c>
      <c r="S19" s="10" t="s">
        <v>14</v>
      </c>
      <c r="T19" s="10" t="s">
        <v>15</v>
      </c>
      <c r="U19" s="30"/>
      <c r="V19" s="10" t="s">
        <v>50</v>
      </c>
      <c r="W19" s="10" t="s">
        <v>51</v>
      </c>
      <c r="X19" s="10" t="s">
        <v>52</v>
      </c>
      <c r="Y19" s="10" t="s">
        <v>53</v>
      </c>
      <c r="Z19" s="10" t="s">
        <v>14</v>
      </c>
      <c r="AA19" s="10" t="s">
        <v>15</v>
      </c>
      <c r="AB19" s="30"/>
      <c r="AC19" s="10" t="s">
        <v>11</v>
      </c>
      <c r="AD19" s="10" t="s">
        <v>12</v>
      </c>
      <c r="AE19" s="10" t="s">
        <v>13</v>
      </c>
      <c r="AF19" s="11" t="s">
        <v>16</v>
      </c>
      <c r="AG19" s="10" t="s">
        <v>17</v>
      </c>
      <c r="AH19" s="10" t="s">
        <v>13</v>
      </c>
      <c r="AI19" s="10" t="s">
        <v>14</v>
      </c>
      <c r="AJ19" s="10" t="s">
        <v>15</v>
      </c>
    </row>
    <row r="20" spans="1:36" x14ac:dyDescent="0.25">
      <c r="A20" s="19"/>
      <c r="B20" s="5">
        <f>RANK(C20,C$20:C$28,0)</f>
        <v>1</v>
      </c>
      <c r="C20" s="5">
        <f>SUMIF($G$13:$AJ$13,1,$G20:$AJ20)</f>
        <v>461</v>
      </c>
      <c r="D20" s="8"/>
      <c r="E20" s="14" t="s">
        <v>65</v>
      </c>
      <c r="F20" s="8"/>
      <c r="G20" s="34">
        <v>108</v>
      </c>
      <c r="H20" s="34">
        <v>107</v>
      </c>
      <c r="I20" s="34">
        <v>105</v>
      </c>
      <c r="J20" s="24">
        <f>G20+H20+I20</f>
        <v>320</v>
      </c>
      <c r="K20" s="24">
        <f>RANK(J20,J$20:J$28,0)</f>
        <v>2</v>
      </c>
      <c r="L20" s="24">
        <f>VLOOKUP(K20,'[1]Место-баллы'!$A$3:$B$52,2,0)</f>
        <v>95</v>
      </c>
      <c r="M20" s="27"/>
      <c r="N20" s="24">
        <f>12+35+37</f>
        <v>84</v>
      </c>
      <c r="O20" s="24">
        <f>RANK(N20,N$20:N$28,0)</f>
        <v>8</v>
      </c>
      <c r="P20" s="24">
        <f>VLOOKUP(O20,'[1]Место-баллы'!$A$3:$B$52,2,0)</f>
        <v>71</v>
      </c>
      <c r="Q20" s="27"/>
      <c r="R20" s="24">
        <v>308</v>
      </c>
      <c r="S20" s="24">
        <f>RANK(R20,R$20:R$28,0)</f>
        <v>1</v>
      </c>
      <c r="T20" s="24">
        <f>VLOOKUP(S20,'[1]Место-баллы'!$A$3:$B$52,2,0)</f>
        <v>100</v>
      </c>
      <c r="U20" s="27"/>
      <c r="V20" s="24">
        <v>31</v>
      </c>
      <c r="W20" s="24">
        <v>37</v>
      </c>
      <c r="X20" s="24">
        <v>26</v>
      </c>
      <c r="Y20" s="24">
        <f>V20+W20+X20</f>
        <v>94</v>
      </c>
      <c r="Z20" s="24">
        <f>RANK(Y20,Y$20:Y$28,0)</f>
        <v>1</v>
      </c>
      <c r="AA20" s="24">
        <f>VLOOKUP(Z20,'[1]Место-баллы'!$A$3:$B$52,2,0)</f>
        <v>100</v>
      </c>
      <c r="AB20" s="27"/>
      <c r="AC20" s="24">
        <v>6</v>
      </c>
      <c r="AD20" s="24">
        <v>11</v>
      </c>
      <c r="AE20" s="28">
        <f>TIME(0,AC20,AD20)</f>
        <v>4.2939814814814811E-3</v>
      </c>
      <c r="AF20" s="24">
        <v>360</v>
      </c>
      <c r="AG20" s="24">
        <f>AF$14-AF20</f>
        <v>0</v>
      </c>
      <c r="AH20" s="28">
        <f>AE20+TIME(0,0,AG20)</f>
        <v>4.2939814814814811E-3</v>
      </c>
      <c r="AI20" s="24">
        <f>RANK(AH20,AH$20:AH$28,1)</f>
        <v>2</v>
      </c>
      <c r="AJ20" s="24">
        <f>VLOOKUP(AI20,'[1]Место-баллы'!$A$3:$B$52,2,0)</f>
        <v>95</v>
      </c>
    </row>
    <row r="21" spans="1:36" x14ac:dyDescent="0.25">
      <c r="A21" s="19"/>
      <c r="B21" s="5">
        <f>RANK(C21,C$20:C$28,0)</f>
        <v>2</v>
      </c>
      <c r="C21" s="5">
        <f>SUMIF($G$13:$AJ$13,1,$G21:$AJ21)</f>
        <v>450</v>
      </c>
      <c r="D21" s="8"/>
      <c r="E21" s="14" t="s">
        <v>61</v>
      </c>
      <c r="F21" s="8"/>
      <c r="G21" s="34">
        <v>100</v>
      </c>
      <c r="H21" s="34">
        <v>100</v>
      </c>
      <c r="I21" s="34">
        <v>100</v>
      </c>
      <c r="J21" s="24">
        <f>G21+H21+I21</f>
        <v>300</v>
      </c>
      <c r="K21" s="24">
        <f>RANK(J21,J$20:J$28,0)</f>
        <v>4</v>
      </c>
      <c r="L21" s="24">
        <f>VLOOKUP(K21,'[1]Место-баллы'!$A$3:$B$52,2,0)</f>
        <v>85</v>
      </c>
      <c r="M21" s="27"/>
      <c r="N21" s="24">
        <f>33+44+36</f>
        <v>113</v>
      </c>
      <c r="O21" s="24">
        <f>RANK(N21,N$20:N$28,0)</f>
        <v>2</v>
      </c>
      <c r="P21" s="24">
        <f>VLOOKUP(O21,'[1]Место-баллы'!$A$3:$B$52,2,0)</f>
        <v>95</v>
      </c>
      <c r="Q21" s="27"/>
      <c r="R21" s="24">
        <v>268</v>
      </c>
      <c r="S21" s="24">
        <f>RANK(R21,R$20:R$28,0)</f>
        <v>3</v>
      </c>
      <c r="T21" s="24">
        <f>VLOOKUP(S21,'[1]Место-баллы'!$A$3:$B$52,2,0)</f>
        <v>90</v>
      </c>
      <c r="U21" s="27"/>
      <c r="V21" s="24">
        <v>27</v>
      </c>
      <c r="W21" s="24">
        <v>34</v>
      </c>
      <c r="X21" s="24">
        <v>18</v>
      </c>
      <c r="Y21" s="24">
        <f>V21+W21+X21</f>
        <v>79</v>
      </c>
      <c r="Z21" s="24">
        <f>RANK(Y21,Y$20:Y$28,0)</f>
        <v>2</v>
      </c>
      <c r="AA21" s="24">
        <f>VLOOKUP(Z21,'[1]Место-баллы'!$A$3:$B$52,2,0)</f>
        <v>95</v>
      </c>
      <c r="AB21" s="27"/>
      <c r="AC21" s="24">
        <v>6</v>
      </c>
      <c r="AD21" s="24">
        <v>41</v>
      </c>
      <c r="AE21" s="28">
        <f>TIME(0,AC21,AD21)</f>
        <v>4.6412037037037038E-3</v>
      </c>
      <c r="AF21" s="24">
        <v>360</v>
      </c>
      <c r="AG21" s="24">
        <f>AF$14-AF21</f>
        <v>0</v>
      </c>
      <c r="AH21" s="28">
        <f>AE21+TIME(0,0,AG21)</f>
        <v>4.6412037037037038E-3</v>
      </c>
      <c r="AI21" s="24">
        <f>RANK(AH21,AH$20:AH$28,1)</f>
        <v>4</v>
      </c>
      <c r="AJ21" s="24">
        <f>VLOOKUP(AI21,'[1]Место-баллы'!$A$3:$B$52,2,0)</f>
        <v>85</v>
      </c>
    </row>
    <row r="22" spans="1:36" x14ac:dyDescent="0.25">
      <c r="A22" s="19"/>
      <c r="B22" s="5">
        <f>RANK(C22,C$20:C$28,0)</f>
        <v>3</v>
      </c>
      <c r="C22" s="5">
        <f>SUMIF($G$13:$AJ$13,1,$G22:$AJ22)</f>
        <v>440</v>
      </c>
      <c r="D22" s="8"/>
      <c r="E22" s="14" t="s">
        <v>66</v>
      </c>
      <c r="F22" s="8"/>
      <c r="G22" s="34">
        <v>110</v>
      </c>
      <c r="H22" s="34">
        <v>115</v>
      </c>
      <c r="I22" s="34">
        <v>0</v>
      </c>
      <c r="J22" s="24">
        <f>G22+H22+I22</f>
        <v>225</v>
      </c>
      <c r="K22" s="24">
        <f>RANK(J22,J$20:J$28,0)</f>
        <v>5</v>
      </c>
      <c r="L22" s="24">
        <f>VLOOKUP(K22,'[1]Место-баллы'!$A$3:$B$52,2,0)</f>
        <v>80</v>
      </c>
      <c r="M22" s="27"/>
      <c r="N22" s="24">
        <f>26+37+41</f>
        <v>104</v>
      </c>
      <c r="O22" s="24">
        <f>RANK(N22,N$20:N$28,0)</f>
        <v>6</v>
      </c>
      <c r="P22" s="24">
        <f>VLOOKUP(O22,'[1]Место-баллы'!$A$3:$B$52,2,0)</f>
        <v>75</v>
      </c>
      <c r="Q22" s="27"/>
      <c r="R22" s="24">
        <v>289</v>
      </c>
      <c r="S22" s="24">
        <f>RANK(R22,R$20:R$28,0)</f>
        <v>2</v>
      </c>
      <c r="T22" s="24">
        <f>VLOOKUP(S22,'[1]Место-баллы'!$A$3:$B$52,2,0)</f>
        <v>95</v>
      </c>
      <c r="U22" s="27"/>
      <c r="V22" s="24">
        <v>35</v>
      </c>
      <c r="W22" s="24">
        <v>21</v>
      </c>
      <c r="X22" s="24">
        <v>19</v>
      </c>
      <c r="Y22" s="24">
        <f>V22+W22+X22</f>
        <v>75</v>
      </c>
      <c r="Z22" s="24">
        <f>RANK(Y22,Y$20:Y$28,0)</f>
        <v>3</v>
      </c>
      <c r="AA22" s="24">
        <f>VLOOKUP(Z22,'[1]Место-баллы'!$A$3:$B$52,2,0)</f>
        <v>90</v>
      </c>
      <c r="AB22" s="27"/>
      <c r="AC22" s="24">
        <v>6</v>
      </c>
      <c r="AD22" s="24">
        <v>1</v>
      </c>
      <c r="AE22" s="28">
        <f>TIME(0,AC22,AD22)</f>
        <v>4.1782407407407402E-3</v>
      </c>
      <c r="AF22" s="24">
        <v>360</v>
      </c>
      <c r="AG22" s="24">
        <f>AF$14-AF22</f>
        <v>0</v>
      </c>
      <c r="AH22" s="28">
        <f>AE22+TIME(0,0,AG22)</f>
        <v>4.1782407407407402E-3</v>
      </c>
      <c r="AI22" s="24">
        <f>RANK(AH22,AH$20:AH$28,1)</f>
        <v>1</v>
      </c>
      <c r="AJ22" s="24">
        <f>VLOOKUP(AI22,'[1]Место-баллы'!$A$3:$B$52,2,0)</f>
        <v>100</v>
      </c>
    </row>
    <row r="23" spans="1:36" x14ac:dyDescent="0.25">
      <c r="A23" s="19"/>
      <c r="B23" s="5">
        <f>RANK(C23,C$20:C$28,0)</f>
        <v>4</v>
      </c>
      <c r="C23" s="5">
        <f>SUMIF($G$13:$AJ$13,1,$G23:$AJ23)</f>
        <v>406</v>
      </c>
      <c r="D23" s="8"/>
      <c r="E23" s="14" t="s">
        <v>63</v>
      </c>
      <c r="F23" s="8"/>
      <c r="G23" s="34">
        <v>0</v>
      </c>
      <c r="H23" s="34">
        <v>90</v>
      </c>
      <c r="I23" s="34">
        <v>90</v>
      </c>
      <c r="J23" s="24">
        <f>G23+H23+I23</f>
        <v>180</v>
      </c>
      <c r="K23" s="24">
        <f>RANK(J23,J$20:J$28,0)</f>
        <v>7</v>
      </c>
      <c r="L23" s="24">
        <f>VLOOKUP(K23,'[1]Место-баллы'!$A$3:$B$52,2,0)</f>
        <v>73</v>
      </c>
      <c r="M23" s="27"/>
      <c r="N23" s="24">
        <f>27+43+36</f>
        <v>106</v>
      </c>
      <c r="O23" s="24">
        <f>RANK(N23,N$20:N$28,0)</f>
        <v>4</v>
      </c>
      <c r="P23" s="24">
        <f>VLOOKUP(O23,'[1]Место-баллы'!$A$3:$B$52,2,0)</f>
        <v>85</v>
      </c>
      <c r="Q23" s="27"/>
      <c r="R23" s="24">
        <v>260</v>
      </c>
      <c r="S23" s="24">
        <f>RANK(R23,R$20:R$28,0)</f>
        <v>4</v>
      </c>
      <c r="T23" s="24">
        <f>VLOOKUP(S23,'[1]Место-баллы'!$A$3:$B$52,2,0)</f>
        <v>85</v>
      </c>
      <c r="U23" s="27"/>
      <c r="V23" s="24">
        <v>31</v>
      </c>
      <c r="W23" s="24">
        <v>25</v>
      </c>
      <c r="X23" s="24">
        <v>19</v>
      </c>
      <c r="Y23" s="24">
        <f>V23+W23+X23</f>
        <v>75</v>
      </c>
      <c r="Z23" s="24">
        <f>RANK(Y23,Y$20:Y$28,0)</f>
        <v>3</v>
      </c>
      <c r="AA23" s="24">
        <f>VLOOKUP(Z23,'[1]Место-баллы'!$A$3:$B$52,2,0)</f>
        <v>90</v>
      </c>
      <c r="AB23" s="27"/>
      <c r="AC23" s="24">
        <v>9</v>
      </c>
      <c r="AD23" s="24">
        <v>2</v>
      </c>
      <c r="AE23" s="28">
        <f>TIME(0,AC23,AD23)</f>
        <v>6.2731481481481484E-3</v>
      </c>
      <c r="AF23" s="24">
        <v>360</v>
      </c>
      <c r="AG23" s="24">
        <f>AF$14-AF23</f>
        <v>0</v>
      </c>
      <c r="AH23" s="28">
        <f>AE23+TIME(0,0,AG23)</f>
        <v>6.2731481481481484E-3</v>
      </c>
      <c r="AI23" s="24">
        <f>RANK(AH23,AH$20:AH$28,1)</f>
        <v>7</v>
      </c>
      <c r="AJ23" s="24">
        <f>VLOOKUP(AI23,'[1]Место-баллы'!$A$3:$B$52,2,0)</f>
        <v>73</v>
      </c>
    </row>
    <row r="24" spans="1:36" x14ac:dyDescent="0.25">
      <c r="A24" s="19"/>
      <c r="B24" s="5">
        <f>RANK(C24,C$20:C$28,0)</f>
        <v>5</v>
      </c>
      <c r="C24" s="5">
        <f>SUMIF($G$13:$AJ$13,1,$G24:$AJ24)</f>
        <v>405</v>
      </c>
      <c r="D24" s="8"/>
      <c r="E24" s="14" t="s">
        <v>62</v>
      </c>
      <c r="F24" s="8"/>
      <c r="G24" s="34">
        <v>110</v>
      </c>
      <c r="H24" s="34">
        <v>110</v>
      </c>
      <c r="I24" s="34">
        <v>100</v>
      </c>
      <c r="J24" s="24">
        <f>G24+H24+I24</f>
        <v>320</v>
      </c>
      <c r="K24" s="24">
        <f>RANK(J24,J$20:J$28,0)</f>
        <v>2</v>
      </c>
      <c r="L24" s="24">
        <f>VLOOKUP(K24,'[1]Место-баллы'!$A$3:$B$52,2,0)</f>
        <v>95</v>
      </c>
      <c r="M24" s="27"/>
      <c r="N24" s="24">
        <f>24+40+41</f>
        <v>105</v>
      </c>
      <c r="O24" s="24">
        <f>RANK(N24,N$20:N$28,0)</f>
        <v>5</v>
      </c>
      <c r="P24" s="24">
        <f>VLOOKUP(O24,'[1]Место-баллы'!$A$3:$B$52,2,0)</f>
        <v>80</v>
      </c>
      <c r="Q24" s="27"/>
      <c r="R24" s="24">
        <v>252</v>
      </c>
      <c r="S24" s="24">
        <f>RANK(R24,R$20:R$28,0)</f>
        <v>5</v>
      </c>
      <c r="T24" s="24">
        <f>VLOOKUP(S24,'[1]Место-баллы'!$A$3:$B$52,2,0)</f>
        <v>80</v>
      </c>
      <c r="U24" s="27"/>
      <c r="V24" s="24">
        <v>29</v>
      </c>
      <c r="W24" s="24">
        <v>26</v>
      </c>
      <c r="X24" s="24">
        <v>15</v>
      </c>
      <c r="Y24" s="24">
        <f>V24+W24+X24</f>
        <v>70</v>
      </c>
      <c r="Z24" s="24">
        <f>RANK(Y24,Y$20:Y$28,0)</f>
        <v>6</v>
      </c>
      <c r="AA24" s="24">
        <f>VLOOKUP(Z24,'[1]Место-баллы'!$A$3:$B$52,2,0)</f>
        <v>75</v>
      </c>
      <c r="AB24" s="27"/>
      <c r="AC24" s="24">
        <v>7</v>
      </c>
      <c r="AD24" s="24">
        <v>29</v>
      </c>
      <c r="AE24" s="28">
        <f>TIME(0,AC24,AD24)</f>
        <v>5.1967592592592595E-3</v>
      </c>
      <c r="AF24" s="24">
        <v>360</v>
      </c>
      <c r="AG24" s="24">
        <f>AF$14-AF24</f>
        <v>0</v>
      </c>
      <c r="AH24" s="28">
        <f>AE24+TIME(0,0,AG24)</f>
        <v>5.1967592592592595E-3</v>
      </c>
      <c r="AI24" s="24">
        <f>RANK(AH24,AH$20:AH$28,1)</f>
        <v>6</v>
      </c>
      <c r="AJ24" s="24">
        <f>VLOOKUP(AI24,'[1]Место-баллы'!$A$3:$B$52,2,0)</f>
        <v>75</v>
      </c>
    </row>
    <row r="25" spans="1:36" x14ac:dyDescent="0.25">
      <c r="A25" s="19"/>
      <c r="B25" s="5">
        <f>RANK(C25,C$20:C$28,0)</f>
        <v>6</v>
      </c>
      <c r="C25" s="5">
        <f>SUMIF($G$13:$AJ$13,1,$G25:$AJ25)</f>
        <v>404</v>
      </c>
      <c r="D25" s="8"/>
      <c r="E25" s="14" t="s">
        <v>33</v>
      </c>
      <c r="F25" s="8"/>
      <c r="G25" s="34">
        <v>0</v>
      </c>
      <c r="H25" s="34">
        <v>80</v>
      </c>
      <c r="I25" s="34">
        <v>80</v>
      </c>
      <c r="J25" s="24">
        <f>G25+H25+I25</f>
        <v>160</v>
      </c>
      <c r="K25" s="24">
        <f>RANK(J25,J$20:J$28,0)</f>
        <v>8</v>
      </c>
      <c r="L25" s="24">
        <f>VLOOKUP(K25,'[1]Место-баллы'!$A$3:$B$52,2,0)</f>
        <v>71</v>
      </c>
      <c r="M25" s="27"/>
      <c r="N25" s="24">
        <f>33+41+34</f>
        <v>108</v>
      </c>
      <c r="O25" s="24">
        <f>RANK(N25,N$20:N$28,0)</f>
        <v>3</v>
      </c>
      <c r="P25" s="24">
        <f>VLOOKUP(O25,'[1]Место-баллы'!$A$3:$B$52,2,0)</f>
        <v>90</v>
      </c>
      <c r="Q25" s="27"/>
      <c r="R25" s="24">
        <v>228</v>
      </c>
      <c r="S25" s="24">
        <f>RANK(R25,R$20:R$28,0)</f>
        <v>7</v>
      </c>
      <c r="T25" s="24">
        <f>VLOOKUP(S25,'[1]Место-баллы'!$A$3:$B$52,2,0)</f>
        <v>73</v>
      </c>
      <c r="U25" s="27"/>
      <c r="V25" s="24">
        <v>28</v>
      </c>
      <c r="W25" s="24">
        <v>21</v>
      </c>
      <c r="X25" s="24">
        <v>23</v>
      </c>
      <c r="Y25" s="24">
        <f>V25+W25+X25</f>
        <v>72</v>
      </c>
      <c r="Z25" s="24">
        <f>RANK(Y25,Y$20:Y$28,0)</f>
        <v>5</v>
      </c>
      <c r="AA25" s="24">
        <f>VLOOKUP(Z25,'[1]Место-баллы'!$A$3:$B$52,2,0)</f>
        <v>80</v>
      </c>
      <c r="AB25" s="27"/>
      <c r="AC25" s="24">
        <v>6</v>
      </c>
      <c r="AD25" s="24">
        <v>31</v>
      </c>
      <c r="AE25" s="28">
        <f>TIME(0,AC25,AD25)</f>
        <v>4.5254629629629629E-3</v>
      </c>
      <c r="AF25" s="24">
        <v>360</v>
      </c>
      <c r="AG25" s="24">
        <f>AF$14-AF25</f>
        <v>0</v>
      </c>
      <c r="AH25" s="28">
        <f>AE25+TIME(0,0,AG25)</f>
        <v>4.5254629629629629E-3</v>
      </c>
      <c r="AI25" s="24">
        <f>RANK(AH25,AH$20:AH$28,1)</f>
        <v>3</v>
      </c>
      <c r="AJ25" s="24">
        <f>VLOOKUP(AI25,'[1]Место-баллы'!$A$3:$B$52,2,0)</f>
        <v>90</v>
      </c>
    </row>
    <row r="26" spans="1:36" x14ac:dyDescent="0.25">
      <c r="A26" s="19"/>
      <c r="B26" s="5">
        <f>RANK(C26,C$20:C$28,0)</f>
        <v>7</v>
      </c>
      <c r="C26" s="5">
        <f>SUMIF($G$13:$AJ$13,1,$G26:$AJ26)</f>
        <v>401</v>
      </c>
      <c r="D26" s="8"/>
      <c r="E26" s="14" t="s">
        <v>67</v>
      </c>
      <c r="F26" s="8"/>
      <c r="G26" s="34">
        <v>70</v>
      </c>
      <c r="H26" s="34">
        <v>70</v>
      </c>
      <c r="I26" s="34">
        <v>70</v>
      </c>
      <c r="J26" s="24">
        <f>G26+H26+I26</f>
        <v>210</v>
      </c>
      <c r="K26" s="24">
        <f>RANK(J26,J$20:J$28,0)</f>
        <v>6</v>
      </c>
      <c r="L26" s="24">
        <f>VLOOKUP(K26,'[1]Место-баллы'!$A$3:$B$52,2,0)</f>
        <v>75</v>
      </c>
      <c r="M26" s="27"/>
      <c r="N26" s="24">
        <f>37+43+39</f>
        <v>119</v>
      </c>
      <c r="O26" s="24">
        <f>RANK(N26,N$20:N$28,0)</f>
        <v>1</v>
      </c>
      <c r="P26" s="24">
        <f>VLOOKUP(O26,'[1]Место-баллы'!$A$3:$B$52,2,0)</f>
        <v>100</v>
      </c>
      <c r="Q26" s="27"/>
      <c r="R26" s="24">
        <v>235</v>
      </c>
      <c r="S26" s="24">
        <f>RANK(R26,R$20:R$28,0)</f>
        <v>6</v>
      </c>
      <c r="T26" s="24">
        <f>VLOOKUP(S26,'[1]Место-баллы'!$A$3:$B$52,2,0)</f>
        <v>75</v>
      </c>
      <c r="U26" s="27"/>
      <c r="V26" s="24">
        <v>26</v>
      </c>
      <c r="W26" s="24">
        <v>21</v>
      </c>
      <c r="X26" s="24">
        <v>19</v>
      </c>
      <c r="Y26" s="24">
        <f>V26+W26+X26</f>
        <v>66</v>
      </c>
      <c r="Z26" s="24">
        <f>RANK(Y26,Y$20:Y$28,0)</f>
        <v>8</v>
      </c>
      <c r="AA26" s="24">
        <f>VLOOKUP(Z26,'[1]Место-баллы'!$A$3:$B$52,2,0)</f>
        <v>71</v>
      </c>
      <c r="AB26" s="27"/>
      <c r="AC26" s="24">
        <v>7</v>
      </c>
      <c r="AD26" s="24">
        <v>28</v>
      </c>
      <c r="AE26" s="28">
        <f>TIME(0,AC26,AD26)</f>
        <v>5.185185185185185E-3</v>
      </c>
      <c r="AF26" s="24">
        <v>360</v>
      </c>
      <c r="AG26" s="24">
        <f>AF$14-AF26</f>
        <v>0</v>
      </c>
      <c r="AH26" s="28">
        <f>AE26+TIME(0,0,AG26)</f>
        <v>5.185185185185185E-3</v>
      </c>
      <c r="AI26" s="24">
        <f>RANK(AH26,AH$20:AH$28,1)</f>
        <v>5</v>
      </c>
      <c r="AJ26" s="24">
        <f>VLOOKUP(AI26,'[1]Место-баллы'!$A$3:$B$52,2,0)</f>
        <v>80</v>
      </c>
    </row>
    <row r="27" spans="1:36" x14ac:dyDescent="0.25">
      <c r="A27" s="19"/>
      <c r="B27" s="5">
        <f>RANK(C27,C$20:C$28,0)</f>
        <v>8</v>
      </c>
      <c r="C27" s="5">
        <f>SUMIF($G$13:$AJ$13,1,$G27:$AJ27)</f>
        <v>386</v>
      </c>
      <c r="D27" s="8"/>
      <c r="E27" s="14" t="s">
        <v>35</v>
      </c>
      <c r="F27" s="8"/>
      <c r="G27" s="34">
        <v>120</v>
      </c>
      <c r="H27" s="34">
        <v>120</v>
      </c>
      <c r="I27" s="34">
        <v>110</v>
      </c>
      <c r="J27" s="24">
        <f>G27+H27+I27</f>
        <v>350</v>
      </c>
      <c r="K27" s="24">
        <f>RANK(J27,J$20:J$28,0)</f>
        <v>1</v>
      </c>
      <c r="L27" s="24">
        <f>VLOOKUP(K27,'[1]Место-баллы'!$A$3:$B$52,2,0)</f>
        <v>100</v>
      </c>
      <c r="M27" s="27"/>
      <c r="N27" s="24">
        <f>14+36+34</f>
        <v>84</v>
      </c>
      <c r="O27" s="24">
        <f>RANK(N27,N$20:N$28,0)</f>
        <v>8</v>
      </c>
      <c r="P27" s="24">
        <f>VLOOKUP(O27,'[1]Место-баллы'!$A$3:$B$52,2,0)</f>
        <v>71</v>
      </c>
      <c r="Q27" s="27"/>
      <c r="R27" s="24">
        <v>219</v>
      </c>
      <c r="S27" s="24">
        <f>RANK(R27,R$20:R$28,0)</f>
        <v>8</v>
      </c>
      <c r="T27" s="24">
        <f>VLOOKUP(S27,'[1]Место-баллы'!$A$3:$B$52,2,0)</f>
        <v>71</v>
      </c>
      <c r="U27" s="27"/>
      <c r="V27" s="24">
        <v>24</v>
      </c>
      <c r="W27" s="24">
        <v>25</v>
      </c>
      <c r="X27" s="24">
        <v>18</v>
      </c>
      <c r="Y27" s="24">
        <f>V27+W27+X27</f>
        <v>67</v>
      </c>
      <c r="Z27" s="24">
        <f>RANK(Y27,Y$20:Y$28,0)</f>
        <v>7</v>
      </c>
      <c r="AA27" s="24">
        <f>VLOOKUP(Z27,'[1]Место-баллы'!$A$3:$B$52,2,0)</f>
        <v>73</v>
      </c>
      <c r="AB27" s="27"/>
      <c r="AC27" s="24">
        <v>10</v>
      </c>
      <c r="AD27" s="24">
        <v>5</v>
      </c>
      <c r="AE27" s="28">
        <f>TIME(0,AC27,AD27)</f>
        <v>7.0023148148148154E-3</v>
      </c>
      <c r="AF27" s="24">
        <v>324</v>
      </c>
      <c r="AG27" s="24">
        <f>AF$14-AF27</f>
        <v>36</v>
      </c>
      <c r="AH27" s="28">
        <f>AE27+TIME(0,0,AG27)</f>
        <v>7.4189814814814821E-3</v>
      </c>
      <c r="AI27" s="24">
        <f>RANK(AH27,AH$20:AH$28,1)</f>
        <v>8</v>
      </c>
      <c r="AJ27" s="24">
        <f>VLOOKUP(AI27,'[1]Место-баллы'!$A$3:$B$52,2,0)</f>
        <v>71</v>
      </c>
    </row>
    <row r="28" spans="1:36" x14ac:dyDescent="0.25">
      <c r="A28" s="19"/>
      <c r="B28" s="5">
        <f>RANK(C28,C$20:C$28,0)</f>
        <v>9</v>
      </c>
      <c r="C28" s="5">
        <f>SUMIF($G$13:$AJ$13,1,$G28:$AJ28)</f>
        <v>349</v>
      </c>
      <c r="D28" s="8"/>
      <c r="E28" s="14" t="s">
        <v>64</v>
      </c>
      <c r="F28" s="8"/>
      <c r="G28" s="34">
        <v>0</v>
      </c>
      <c r="H28" s="34">
        <v>71</v>
      </c>
      <c r="I28" s="34">
        <v>75</v>
      </c>
      <c r="J28" s="24">
        <f>G28+H28+I28</f>
        <v>146</v>
      </c>
      <c r="K28" s="24">
        <f>RANK(J28,J$20:J$28,0)</f>
        <v>9</v>
      </c>
      <c r="L28" s="24">
        <f>VLOOKUP(K28,'[1]Место-баллы'!$A$3:$B$52,2,0)</f>
        <v>69</v>
      </c>
      <c r="M28" s="27"/>
      <c r="N28" s="24">
        <f>23+37+33</f>
        <v>93</v>
      </c>
      <c r="O28" s="24">
        <f>RANK(N28,N$20:N$28,0)</f>
        <v>7</v>
      </c>
      <c r="P28" s="24">
        <f>VLOOKUP(O28,'[1]Место-баллы'!$A$3:$B$52,2,0)</f>
        <v>73</v>
      </c>
      <c r="Q28" s="27"/>
      <c r="R28" s="24">
        <v>178</v>
      </c>
      <c r="S28" s="24">
        <f>RANK(R28,R$20:R$28,0)</f>
        <v>9</v>
      </c>
      <c r="T28" s="24">
        <f>VLOOKUP(S28,'[1]Место-баллы'!$A$3:$B$52,2,0)</f>
        <v>69</v>
      </c>
      <c r="U28" s="27"/>
      <c r="V28" s="24">
        <v>22</v>
      </c>
      <c r="W28" s="24">
        <v>18</v>
      </c>
      <c r="X28" s="24">
        <v>5</v>
      </c>
      <c r="Y28" s="24">
        <f>V28+W28+X28</f>
        <v>45</v>
      </c>
      <c r="Z28" s="24">
        <f>RANK(Y28,Y$20:Y$28,0)</f>
        <v>9</v>
      </c>
      <c r="AA28" s="24">
        <f>VLOOKUP(Z28,'[1]Место-баллы'!$A$3:$B$52,2,0)</f>
        <v>69</v>
      </c>
      <c r="AB28" s="27"/>
      <c r="AC28" s="24">
        <v>10</v>
      </c>
      <c r="AD28" s="24">
        <v>5</v>
      </c>
      <c r="AE28" s="28">
        <f>TIME(0,AC28,AD28)</f>
        <v>7.0023148148148154E-3</v>
      </c>
      <c r="AF28" s="24">
        <v>265</v>
      </c>
      <c r="AG28" s="24">
        <f>AF$14-AF28</f>
        <v>95</v>
      </c>
      <c r="AH28" s="28">
        <f>AE28+TIME(0,0,AG28)</f>
        <v>8.1018518518518531E-3</v>
      </c>
      <c r="AI28" s="24">
        <f>RANK(AH28,AH$20:AH$28,1)</f>
        <v>9</v>
      </c>
      <c r="AJ28" s="24">
        <f>VLOOKUP(AI28,'[1]Место-баллы'!$A$3:$B$52,2,0)</f>
        <v>69</v>
      </c>
    </row>
    <row r="29" spans="1:36" ht="15.75" customHeight="1" x14ac:dyDescent="0.25"/>
    <row r="30" spans="1:36" ht="15.75" customHeight="1" x14ac:dyDescent="0.25"/>
    <row r="31" spans="1:36" ht="15.75" customHeight="1" outlineLevel="1" x14ac:dyDescent="0.35">
      <c r="B31" s="39" t="s">
        <v>36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</row>
    <row r="32" spans="1:36" ht="15.75" customHeight="1" outlineLevel="1" x14ac:dyDescent="0.25">
      <c r="B32" s="16"/>
      <c r="C32" s="16"/>
      <c r="D32" s="16"/>
      <c r="E32" s="16"/>
    </row>
    <row r="33" spans="2:12" ht="15.75" customHeight="1" outlineLevel="1" x14ac:dyDescent="0.35">
      <c r="B33" s="39" t="s">
        <v>37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</row>
    <row r="34" spans="2:12" ht="15.75" customHeight="1" x14ac:dyDescent="0.25"/>
    <row r="35" spans="2:12" ht="15.75" customHeight="1" x14ac:dyDescent="0.25"/>
    <row r="36" spans="2:12" ht="15.75" customHeight="1" x14ac:dyDescent="0.25"/>
    <row r="37" spans="2:12" s="18" customFormat="1" ht="15.75" customHeight="1" x14ac:dyDescent="0.25"/>
    <row r="38" spans="2:12" ht="15.75" customHeight="1" x14ac:dyDescent="0.25"/>
    <row r="39" spans="2:12" ht="15.75" customHeight="1" x14ac:dyDescent="0.25"/>
    <row r="40" spans="2:12" ht="15.75" customHeight="1" x14ac:dyDescent="0.25"/>
    <row r="41" spans="2:12" ht="15.75" customHeight="1" x14ac:dyDescent="0.25"/>
    <row r="42" spans="2:12" ht="15.75" customHeight="1" x14ac:dyDescent="0.25"/>
    <row r="43" spans="2:12" ht="15.75" customHeight="1" x14ac:dyDescent="0.25"/>
    <row r="44" spans="2:12" ht="15.75" customHeight="1" x14ac:dyDescent="0.25"/>
    <row r="45" spans="2:12" ht="15.75" customHeight="1" x14ac:dyDescent="0.25"/>
    <row r="46" spans="2:12" ht="15.75" customHeight="1" x14ac:dyDescent="0.25"/>
    <row r="47" spans="2:12" ht="15.75" customHeight="1" x14ac:dyDescent="0.25"/>
    <row r="48" spans="2:1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</sheetData>
  <autoFilter ref="B19:AJ19" xr:uid="{D264CABF-B148-4BAF-935C-1AA94D556820}">
    <sortState ref="B20:AJ28">
      <sortCondition ref="B19"/>
    </sortState>
  </autoFilter>
  <mergeCells count="18">
    <mergeCell ref="R17:T18"/>
    <mergeCell ref="V17:AA18"/>
    <mergeCell ref="AC17:AJ18"/>
    <mergeCell ref="B31:L31"/>
    <mergeCell ref="B33:L33"/>
    <mergeCell ref="B1:AJ1"/>
    <mergeCell ref="B2:AJ2"/>
    <mergeCell ref="B3:AJ3"/>
    <mergeCell ref="B4:AJ4"/>
    <mergeCell ref="B6:AJ6"/>
    <mergeCell ref="B7:AJ7"/>
    <mergeCell ref="B8:AJ8"/>
    <mergeCell ref="B9:AJ9"/>
    <mergeCell ref="B11:AJ11"/>
    <mergeCell ref="B17:C18"/>
    <mergeCell ref="E17:E18"/>
    <mergeCell ref="G17:L18"/>
    <mergeCell ref="N17:P18"/>
  </mergeCells>
  <printOptions horizontalCentered="1" verticalCentered="1"/>
  <pageMargins left="0" right="0" top="0" bottom="0" header="0" footer="0"/>
  <pageSetup paperSize="9"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94"/>
  <sheetViews>
    <sheetView tabSelected="1" topLeftCell="A9" zoomScaleNormal="100" workbookViewId="0">
      <selection activeCell="E23" sqref="E23"/>
    </sheetView>
  </sheetViews>
  <sheetFormatPr defaultColWidth="14.42578125" defaultRowHeight="15" customHeight="1" outlineLevelRow="1" outlineLevelCol="1" x14ac:dyDescent="0.25"/>
  <cols>
    <col min="1" max="1" width="8.7109375" customWidth="1"/>
    <col min="2" max="2" width="9" customWidth="1"/>
    <col min="3" max="3" width="7.42578125" customWidth="1"/>
    <col min="4" max="4" width="1.42578125" customWidth="1"/>
    <col min="5" max="5" width="21.42578125" bestFit="1" customWidth="1"/>
    <col min="6" max="6" width="1.42578125" customWidth="1"/>
    <col min="7" max="9" width="5.5703125" customWidth="1" outlineLevel="1"/>
    <col min="10" max="10" width="7.85546875" bestFit="1" customWidth="1"/>
    <col min="11" max="11" width="7.140625" bestFit="1" customWidth="1"/>
    <col min="12" max="12" width="6.85546875" bestFit="1" customWidth="1"/>
    <col min="13" max="13" width="1.42578125" customWidth="1"/>
    <col min="14" max="14" width="6.85546875" customWidth="1"/>
    <col min="15" max="15" width="7.140625" bestFit="1" customWidth="1"/>
    <col min="16" max="16" width="6.85546875" bestFit="1" customWidth="1"/>
    <col min="17" max="17" width="1.42578125" customWidth="1"/>
    <col min="18" max="18" width="6.85546875" customWidth="1"/>
    <col min="19" max="19" width="7.140625" bestFit="1" customWidth="1"/>
    <col min="20" max="20" width="6.85546875" bestFit="1" customWidth="1"/>
    <col min="21" max="21" width="1.42578125" customWidth="1"/>
    <col min="22" max="22" width="6.5703125" customWidth="1" outlineLevel="1"/>
    <col min="23" max="23" width="9.140625" customWidth="1" outlineLevel="1"/>
    <col min="24" max="24" width="6" customWidth="1" outlineLevel="1"/>
    <col min="25" max="25" width="7" bestFit="1" customWidth="1"/>
    <col min="26" max="26" width="7.140625" customWidth="1"/>
    <col min="27" max="27" width="6.85546875" customWidth="1"/>
    <col min="28" max="28" width="1.42578125" customWidth="1"/>
    <col min="29" max="29" width="5.140625" hidden="1" customWidth="1" outlineLevel="1"/>
    <col min="30" max="30" width="4.28515625" hidden="1" customWidth="1" outlineLevel="1"/>
    <col min="31" max="31" width="7.140625" bestFit="1" customWidth="1" collapsed="1"/>
    <col min="32" max="32" width="6.85546875" customWidth="1"/>
    <col min="33" max="33" width="7.85546875" hidden="1" customWidth="1" outlineLevel="1"/>
    <col min="34" max="34" width="7.140625" hidden="1" customWidth="1" outlineLevel="1"/>
    <col min="35" max="35" width="7.140625" bestFit="1" customWidth="1" collapsed="1"/>
    <col min="36" max="36" width="6.85546875" bestFit="1" customWidth="1"/>
  </cols>
  <sheetData>
    <row r="1" spans="1:36" ht="15" customHeight="1" outlineLevel="1" x14ac:dyDescent="0.25">
      <c r="B1" s="40" t="s">
        <v>18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</row>
    <row r="2" spans="1:36" ht="15" customHeight="1" outlineLevel="1" x14ac:dyDescent="0.25">
      <c r="B2" s="40" t="s">
        <v>19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ht="15" customHeight="1" outlineLevel="1" x14ac:dyDescent="0.25">
      <c r="B3" s="40" t="s">
        <v>30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ht="15" customHeight="1" outlineLevel="1" x14ac:dyDescent="0.25">
      <c r="B4" s="41" t="s">
        <v>20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</row>
    <row r="5" spans="1:36" ht="15" customHeight="1" outlineLevel="1" x14ac:dyDescent="0.25">
      <c r="G5" s="29"/>
      <c r="H5" s="29"/>
      <c r="I5" s="29"/>
    </row>
    <row r="6" spans="1:36" ht="18.75" outlineLevel="1" x14ac:dyDescent="0.25">
      <c r="B6" s="42" t="s">
        <v>73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</row>
    <row r="7" spans="1:36" ht="18.75" outlineLevel="1" x14ac:dyDescent="0.25">
      <c r="B7" s="42" t="s">
        <v>74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</row>
    <row r="8" spans="1:36" ht="18.75" outlineLevel="1" x14ac:dyDescent="0.25">
      <c r="B8" s="42" t="s">
        <v>26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</row>
    <row r="9" spans="1:36" ht="18.75" outlineLevel="1" x14ac:dyDescent="0.25">
      <c r="B9" s="42" t="s">
        <v>27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</row>
    <row r="10" spans="1:36" ht="15" customHeight="1" outlineLevel="1" x14ac:dyDescent="0.3">
      <c r="I10" s="15"/>
    </row>
    <row r="11" spans="1:36" ht="25.5" outlineLevel="1" x14ac:dyDescent="0.25">
      <c r="B11" s="43" t="s">
        <v>21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</row>
    <row r="12" spans="1:36" ht="15" customHeight="1" x14ac:dyDescent="0.25">
      <c r="G12" s="29"/>
      <c r="H12" s="29"/>
      <c r="I12" s="29"/>
    </row>
    <row r="13" spans="1:36" hidden="1" outlineLevel="1" x14ac:dyDescent="0.25">
      <c r="E13" s="12"/>
      <c r="G13" s="32"/>
      <c r="H13" s="32"/>
      <c r="I13" s="32"/>
      <c r="J13" s="20"/>
      <c r="K13" s="20"/>
      <c r="L13" s="21">
        <v>1</v>
      </c>
      <c r="M13" s="22"/>
      <c r="N13" s="20"/>
      <c r="O13" s="4"/>
      <c r="P13" s="9">
        <v>1</v>
      </c>
      <c r="Q13" s="22"/>
      <c r="R13" s="20"/>
      <c r="S13" s="20"/>
      <c r="T13" s="9">
        <v>1</v>
      </c>
      <c r="U13" s="22"/>
      <c r="V13" s="20"/>
      <c r="W13" s="20"/>
      <c r="X13" s="20"/>
      <c r="Y13" s="20"/>
      <c r="Z13" s="20"/>
      <c r="AA13" s="21">
        <v>1</v>
      </c>
      <c r="AB13" s="22"/>
      <c r="AC13" s="20"/>
      <c r="AD13" s="20"/>
      <c r="AE13" s="22"/>
      <c r="AF13" s="22"/>
      <c r="AG13" s="20"/>
      <c r="AH13" s="4"/>
      <c r="AI13" s="22"/>
      <c r="AJ13" s="9">
        <v>1</v>
      </c>
    </row>
    <row r="14" spans="1:36" hidden="1" outlineLevel="1" x14ac:dyDescent="0.25">
      <c r="E14" s="12"/>
      <c r="G14" s="32"/>
      <c r="H14" s="32"/>
      <c r="I14" s="32"/>
      <c r="J14" s="20"/>
      <c r="K14" s="20"/>
      <c r="L14" s="20"/>
      <c r="M14" s="22"/>
      <c r="N14" s="20"/>
      <c r="O14" s="20"/>
      <c r="P14" s="20"/>
      <c r="Q14" s="22"/>
      <c r="R14" s="20"/>
      <c r="S14" s="20"/>
      <c r="T14" s="20"/>
      <c r="U14" s="22"/>
      <c r="V14" s="20"/>
      <c r="W14" s="20"/>
      <c r="X14" s="20"/>
      <c r="Y14" s="20"/>
      <c r="Z14" s="20"/>
      <c r="AA14" s="20"/>
      <c r="AB14" s="22"/>
      <c r="AC14" s="20"/>
      <c r="AD14" s="20"/>
      <c r="AE14" s="20"/>
      <c r="AF14" s="23">
        <v>360</v>
      </c>
      <c r="AG14" s="20"/>
      <c r="AH14" s="20"/>
      <c r="AI14" s="20"/>
      <c r="AJ14" s="22"/>
    </row>
    <row r="15" spans="1:36" hidden="1" outlineLevel="1" x14ac:dyDescent="0.25">
      <c r="E15" s="12"/>
      <c r="G15" s="33"/>
      <c r="H15" s="33"/>
      <c r="I15" s="33"/>
      <c r="J15" s="4"/>
      <c r="K15" s="20"/>
      <c r="L15" s="20"/>
      <c r="M15" s="22"/>
      <c r="N15" s="20"/>
      <c r="O15" s="20"/>
      <c r="P15" s="20"/>
      <c r="Q15" s="22"/>
      <c r="R15" s="20"/>
      <c r="S15" s="20"/>
      <c r="T15" s="20"/>
      <c r="U15" s="22"/>
      <c r="V15" s="20"/>
      <c r="W15" s="20"/>
      <c r="X15" s="20"/>
      <c r="Y15" s="20"/>
      <c r="Z15" s="20"/>
      <c r="AA15" s="20"/>
      <c r="AB15" s="22"/>
      <c r="AC15" s="4"/>
      <c r="AD15" s="20"/>
      <c r="AE15" s="20"/>
      <c r="AF15" s="20" t="s">
        <v>43</v>
      </c>
      <c r="AG15" s="20"/>
      <c r="AH15" s="20"/>
      <c r="AI15" s="20"/>
      <c r="AJ15" s="22"/>
    </row>
    <row r="16" spans="1:36" hidden="1" outlineLevel="1" x14ac:dyDescent="0.25">
      <c r="A16" s="19"/>
      <c r="G16" s="32"/>
      <c r="H16" s="32"/>
      <c r="I16" s="32"/>
      <c r="J16" s="20"/>
      <c r="K16" s="20"/>
      <c r="L16" s="20"/>
      <c r="M16" s="22"/>
      <c r="N16" s="20"/>
      <c r="O16" s="20"/>
      <c r="P16" s="20"/>
      <c r="Q16" s="22"/>
      <c r="R16" s="20"/>
      <c r="S16" s="20"/>
      <c r="T16" s="20"/>
      <c r="U16" s="22"/>
      <c r="V16" s="20"/>
      <c r="W16" s="20"/>
      <c r="X16" s="20"/>
      <c r="Y16" s="20"/>
      <c r="Z16" s="20"/>
      <c r="AA16" s="20"/>
      <c r="AB16" s="22"/>
      <c r="AC16" s="20"/>
      <c r="AD16" s="20"/>
      <c r="AE16" s="20"/>
      <c r="AF16" s="22"/>
      <c r="AG16" s="20"/>
      <c r="AH16" s="20"/>
      <c r="AI16" s="20"/>
      <c r="AJ16" s="22"/>
    </row>
    <row r="17" spans="1:36" ht="15" customHeight="1" collapsed="1" x14ac:dyDescent="0.25">
      <c r="A17" s="19"/>
      <c r="B17" s="38" t="s">
        <v>4</v>
      </c>
      <c r="C17" s="44"/>
      <c r="D17" s="5"/>
      <c r="E17" s="38" t="s">
        <v>41</v>
      </c>
      <c r="F17" s="5"/>
      <c r="G17" s="45" t="s">
        <v>44</v>
      </c>
      <c r="H17" s="46"/>
      <c r="I17" s="46"/>
      <c r="J17" s="46"/>
      <c r="K17" s="46"/>
      <c r="L17" s="47"/>
      <c r="M17" s="24"/>
      <c r="N17" s="45" t="s">
        <v>45</v>
      </c>
      <c r="O17" s="46"/>
      <c r="P17" s="47"/>
      <c r="Q17" s="24"/>
      <c r="R17" s="45" t="s">
        <v>5</v>
      </c>
      <c r="S17" s="46"/>
      <c r="T17" s="47"/>
      <c r="U17" s="25"/>
      <c r="V17" s="45" t="s">
        <v>6</v>
      </c>
      <c r="W17" s="46"/>
      <c r="X17" s="46"/>
      <c r="Y17" s="46"/>
      <c r="Z17" s="46"/>
      <c r="AA17" s="47"/>
      <c r="AB17" s="25"/>
      <c r="AC17" s="38" t="s">
        <v>7</v>
      </c>
      <c r="AD17" s="38"/>
      <c r="AE17" s="38"/>
      <c r="AF17" s="38"/>
      <c r="AG17" s="38"/>
      <c r="AH17" s="38"/>
      <c r="AI17" s="38"/>
      <c r="AJ17" s="38"/>
    </row>
    <row r="18" spans="1:36" x14ac:dyDescent="0.25">
      <c r="A18" s="19"/>
      <c r="B18" s="44"/>
      <c r="C18" s="44"/>
      <c r="D18" s="6"/>
      <c r="E18" s="44"/>
      <c r="F18" s="6"/>
      <c r="G18" s="48"/>
      <c r="H18" s="49"/>
      <c r="I18" s="49"/>
      <c r="J18" s="49"/>
      <c r="K18" s="49"/>
      <c r="L18" s="50"/>
      <c r="M18" s="6"/>
      <c r="N18" s="48"/>
      <c r="O18" s="49"/>
      <c r="P18" s="50"/>
      <c r="Q18" s="6"/>
      <c r="R18" s="48"/>
      <c r="S18" s="49"/>
      <c r="T18" s="50"/>
      <c r="U18" s="26"/>
      <c r="V18" s="48"/>
      <c r="W18" s="49"/>
      <c r="X18" s="49"/>
      <c r="Y18" s="49"/>
      <c r="Z18" s="49"/>
      <c r="AA18" s="50"/>
      <c r="AB18" s="26"/>
      <c r="AC18" s="38"/>
      <c r="AD18" s="38"/>
      <c r="AE18" s="38"/>
      <c r="AF18" s="38"/>
      <c r="AG18" s="38"/>
      <c r="AH18" s="38"/>
      <c r="AI18" s="38"/>
      <c r="AJ18" s="38"/>
    </row>
    <row r="19" spans="1:36" ht="25.5" x14ac:dyDescent="0.25">
      <c r="A19" s="19"/>
      <c r="B19" s="11" t="s">
        <v>8</v>
      </c>
      <c r="C19" s="11" t="s">
        <v>9</v>
      </c>
      <c r="D19" s="7"/>
      <c r="E19" s="13" t="s">
        <v>10</v>
      </c>
      <c r="F19" s="7"/>
      <c r="G19" s="10" t="s">
        <v>46</v>
      </c>
      <c r="H19" s="10" t="s">
        <v>47</v>
      </c>
      <c r="I19" s="10" t="s">
        <v>48</v>
      </c>
      <c r="J19" s="10" t="s">
        <v>49</v>
      </c>
      <c r="K19" s="10" t="s">
        <v>14</v>
      </c>
      <c r="L19" s="10" t="s">
        <v>15</v>
      </c>
      <c r="M19" s="30"/>
      <c r="N19" s="11" t="s">
        <v>16</v>
      </c>
      <c r="O19" s="10" t="s">
        <v>14</v>
      </c>
      <c r="P19" s="10" t="s">
        <v>15</v>
      </c>
      <c r="Q19" s="30"/>
      <c r="R19" s="11" t="s">
        <v>16</v>
      </c>
      <c r="S19" s="10" t="s">
        <v>14</v>
      </c>
      <c r="T19" s="10" t="s">
        <v>15</v>
      </c>
      <c r="U19" s="30"/>
      <c r="V19" s="10" t="s">
        <v>50</v>
      </c>
      <c r="W19" s="10" t="s">
        <v>51</v>
      </c>
      <c r="X19" s="10" t="s">
        <v>52</v>
      </c>
      <c r="Y19" s="10" t="s">
        <v>53</v>
      </c>
      <c r="Z19" s="10" t="s">
        <v>14</v>
      </c>
      <c r="AA19" s="10" t="s">
        <v>15</v>
      </c>
      <c r="AB19" s="30"/>
      <c r="AC19" s="10" t="s">
        <v>11</v>
      </c>
      <c r="AD19" s="10" t="s">
        <v>12</v>
      </c>
      <c r="AE19" s="10" t="s">
        <v>13</v>
      </c>
      <c r="AF19" s="11" t="s">
        <v>16</v>
      </c>
      <c r="AG19" s="10" t="s">
        <v>17</v>
      </c>
      <c r="AH19" s="10" t="s">
        <v>13</v>
      </c>
      <c r="AI19" s="10" t="s">
        <v>14</v>
      </c>
      <c r="AJ19" s="10" t="s">
        <v>15</v>
      </c>
    </row>
    <row r="20" spans="1:36" x14ac:dyDescent="0.25">
      <c r="A20" s="19"/>
      <c r="B20" s="5">
        <f>RANK(C20,C$20:C$29,0)</f>
        <v>1</v>
      </c>
      <c r="C20" s="5">
        <f>SUMIF($G$13:$AJ$13,1,$G20:$AJ20)</f>
        <v>470</v>
      </c>
      <c r="D20" s="8"/>
      <c r="E20" s="17" t="s">
        <v>71</v>
      </c>
      <c r="F20" s="8"/>
      <c r="G20" s="34">
        <v>0</v>
      </c>
      <c r="H20" s="34">
        <v>130</v>
      </c>
      <c r="I20" s="34">
        <v>130</v>
      </c>
      <c r="J20" s="24">
        <f>G20+H20+I20</f>
        <v>260</v>
      </c>
      <c r="K20" s="24">
        <f>RANK(J20,J$20:J$29,0)</f>
        <v>6</v>
      </c>
      <c r="L20" s="24">
        <f>VLOOKUP(K20,'[1]Место-баллы'!$A$3:$B$52,2,0)</f>
        <v>75</v>
      </c>
      <c r="M20" s="27"/>
      <c r="N20" s="24">
        <f>34+51+46</f>
        <v>131</v>
      </c>
      <c r="O20" s="24">
        <f>RANK(N20,N$20:N$29,0)</f>
        <v>1</v>
      </c>
      <c r="P20" s="24">
        <f>VLOOKUP(O20,'[1]Место-баллы'!$A$3:$B$52,2,0)</f>
        <v>100</v>
      </c>
      <c r="Q20" s="27"/>
      <c r="R20" s="24">
        <v>287</v>
      </c>
      <c r="S20" s="24">
        <f>RANK(R20,R$20:R$29,0)</f>
        <v>2</v>
      </c>
      <c r="T20" s="24">
        <f>VLOOKUP(S20,'[1]Место-баллы'!$A$3:$B$52,2,0)</f>
        <v>95</v>
      </c>
      <c r="U20" s="27"/>
      <c r="V20" s="24">
        <v>40</v>
      </c>
      <c r="W20" s="24">
        <v>28</v>
      </c>
      <c r="X20" s="24">
        <v>27</v>
      </c>
      <c r="Y20" s="24">
        <f>V20+W20+X20</f>
        <v>95</v>
      </c>
      <c r="Z20" s="24">
        <f>RANK(Y20,Y$20:Y$29,0)</f>
        <v>1</v>
      </c>
      <c r="AA20" s="24">
        <f>VLOOKUP(Z20,'[1]Место-баллы'!$A$3:$B$52,2,0)</f>
        <v>100</v>
      </c>
      <c r="AB20" s="27"/>
      <c r="AC20" s="24">
        <v>5</v>
      </c>
      <c r="AD20" s="24">
        <v>43</v>
      </c>
      <c r="AE20" s="28">
        <f>TIME(0,AC20,AD20)</f>
        <v>3.9699074074074072E-3</v>
      </c>
      <c r="AF20" s="24">
        <v>360</v>
      </c>
      <c r="AG20" s="24">
        <f>AF$14-AF20</f>
        <v>0</v>
      </c>
      <c r="AH20" s="28">
        <f>AE20+TIME(0,0,AG20)</f>
        <v>3.9699074074074072E-3</v>
      </c>
      <c r="AI20" s="24">
        <f>RANK(AH20,AH$20:AH$29,1)</f>
        <v>1</v>
      </c>
      <c r="AJ20" s="24">
        <f>VLOOKUP(AI20,'[1]Место-баллы'!$A$3:$B$52,2,0)</f>
        <v>100</v>
      </c>
    </row>
    <row r="21" spans="1:36" x14ac:dyDescent="0.25">
      <c r="A21" s="19"/>
      <c r="B21" s="5">
        <f>RANK(C21,C$20:C$29,0)</f>
        <v>2</v>
      </c>
      <c r="C21" s="5">
        <f>SUMIF($G$13:$AJ$13,1,$G21:$AJ21)</f>
        <v>451</v>
      </c>
      <c r="D21" s="8"/>
      <c r="E21" s="17" t="s">
        <v>69</v>
      </c>
      <c r="F21" s="8"/>
      <c r="G21" s="34">
        <v>121</v>
      </c>
      <c r="H21" s="34">
        <v>121</v>
      </c>
      <c r="I21" s="34">
        <v>121</v>
      </c>
      <c r="J21" s="24">
        <f>G21+H21+I21</f>
        <v>363</v>
      </c>
      <c r="K21" s="24">
        <f>RANK(J21,J$20:J$29,0)</f>
        <v>2</v>
      </c>
      <c r="L21" s="24">
        <f>VLOOKUP(K21,'[1]Место-баллы'!$A$3:$B$52,2,0)</f>
        <v>95</v>
      </c>
      <c r="M21" s="27"/>
      <c r="N21" s="24">
        <f>22+42+41</f>
        <v>105</v>
      </c>
      <c r="O21" s="24">
        <f>RANK(N21,N$20:N$29,0)</f>
        <v>8</v>
      </c>
      <c r="P21" s="24">
        <f>VLOOKUP(O21,'[1]Место-баллы'!$A$3:$B$52,2,0)</f>
        <v>71</v>
      </c>
      <c r="Q21" s="27"/>
      <c r="R21" s="24">
        <v>292</v>
      </c>
      <c r="S21" s="24">
        <f>RANK(R21,R$20:R$29,0)</f>
        <v>1</v>
      </c>
      <c r="T21" s="24">
        <f>VLOOKUP(S21,'[1]Место-баллы'!$A$3:$B$52,2,0)</f>
        <v>100</v>
      </c>
      <c r="U21" s="27"/>
      <c r="V21" s="24">
        <v>34</v>
      </c>
      <c r="W21" s="24">
        <v>35</v>
      </c>
      <c r="X21" s="24">
        <v>18</v>
      </c>
      <c r="Y21" s="24">
        <f>V21+W21+X21</f>
        <v>87</v>
      </c>
      <c r="Z21" s="24">
        <f>RANK(Y21,Y$20:Y$29,0)</f>
        <v>3</v>
      </c>
      <c r="AA21" s="24">
        <f>VLOOKUP(Z21,'[1]Место-баллы'!$A$3:$B$52,2,0)</f>
        <v>90</v>
      </c>
      <c r="AB21" s="27"/>
      <c r="AC21" s="24">
        <v>5</v>
      </c>
      <c r="AD21" s="24">
        <v>59</v>
      </c>
      <c r="AE21" s="28">
        <f>TIME(0,AC21,AD21)</f>
        <v>4.155092592592593E-3</v>
      </c>
      <c r="AF21" s="24">
        <v>360</v>
      </c>
      <c r="AG21" s="24">
        <f>AF$14-AF21</f>
        <v>0</v>
      </c>
      <c r="AH21" s="28">
        <f>AE21+TIME(0,0,AG21)</f>
        <v>4.155092592592593E-3</v>
      </c>
      <c r="AI21" s="24">
        <f>RANK(AH21,AH$20:AH$29,1)</f>
        <v>2</v>
      </c>
      <c r="AJ21" s="24">
        <f>VLOOKUP(AI21,'[1]Место-баллы'!$A$3:$B$52,2,0)</f>
        <v>95</v>
      </c>
    </row>
    <row r="22" spans="1:36" x14ac:dyDescent="0.25">
      <c r="A22" s="19"/>
      <c r="B22" s="5">
        <f>RANK(C22,C$20:C$29,0)</f>
        <v>3</v>
      </c>
      <c r="C22" s="5">
        <f>SUMIF($G$13:$AJ$13,1,$G22:$AJ22)</f>
        <v>439</v>
      </c>
      <c r="D22" s="8"/>
      <c r="E22" s="17" t="s">
        <v>42</v>
      </c>
      <c r="F22" s="8"/>
      <c r="G22" s="34">
        <v>141</v>
      </c>
      <c r="H22" s="34">
        <v>131</v>
      </c>
      <c r="I22" s="34">
        <v>131</v>
      </c>
      <c r="J22" s="24">
        <f>G22+H22+I22</f>
        <v>403</v>
      </c>
      <c r="K22" s="24">
        <f>RANK(J22,J$20:J$29,0)</f>
        <v>1</v>
      </c>
      <c r="L22" s="24">
        <f>VLOOKUP(K22,'[1]Место-баллы'!$A$3:$B$52,2,0)</f>
        <v>100</v>
      </c>
      <c r="M22" s="27"/>
      <c r="N22" s="24">
        <f>19+41+47-5</f>
        <v>102</v>
      </c>
      <c r="O22" s="24">
        <f>RANK(N22,N$20:N$29,0)</f>
        <v>9</v>
      </c>
      <c r="P22" s="24">
        <f>VLOOKUP(O22,'[1]Место-баллы'!$A$3:$B$52,2,0)</f>
        <v>69</v>
      </c>
      <c r="Q22" s="27"/>
      <c r="R22" s="24">
        <v>265</v>
      </c>
      <c r="S22" s="24">
        <f>RANK(R22,R$20:R$29,0)</f>
        <v>4</v>
      </c>
      <c r="T22" s="24">
        <f>VLOOKUP(S22,'[1]Место-баллы'!$A$3:$B$52,2,0)</f>
        <v>85</v>
      </c>
      <c r="U22" s="27"/>
      <c r="V22" s="24">
        <v>36</v>
      </c>
      <c r="W22" s="24">
        <v>32</v>
      </c>
      <c r="X22" s="24">
        <v>24</v>
      </c>
      <c r="Y22" s="24">
        <f>V22+W22+X22</f>
        <v>92</v>
      </c>
      <c r="Z22" s="24">
        <f>RANK(Y22,Y$20:Y$29,0)</f>
        <v>2</v>
      </c>
      <c r="AA22" s="24">
        <f>VLOOKUP(Z22,'[1]Место-баллы'!$A$3:$B$52,2,0)</f>
        <v>95</v>
      </c>
      <c r="AB22" s="27"/>
      <c r="AC22" s="24">
        <v>6</v>
      </c>
      <c r="AD22" s="24">
        <v>1</v>
      </c>
      <c r="AE22" s="28">
        <f>TIME(0,AC22,AD22)</f>
        <v>4.1782407407407402E-3</v>
      </c>
      <c r="AF22" s="24">
        <v>360</v>
      </c>
      <c r="AG22" s="24">
        <f>AF$14-AF22</f>
        <v>0</v>
      </c>
      <c r="AH22" s="28">
        <f>AE22+TIME(0,0,AG22)</f>
        <v>4.1782407407407402E-3</v>
      </c>
      <c r="AI22" s="24">
        <f>RANK(AH22,AH$20:AH$29,1)</f>
        <v>3</v>
      </c>
      <c r="AJ22" s="24">
        <f>VLOOKUP(AI22,'[1]Место-баллы'!$A$3:$B$52,2,0)</f>
        <v>90</v>
      </c>
    </row>
    <row r="23" spans="1:36" x14ac:dyDescent="0.25">
      <c r="A23" s="19"/>
      <c r="B23" s="5">
        <f>RANK(C23,C$20:C$29,0)</f>
        <v>4</v>
      </c>
      <c r="C23" s="5">
        <f>SUMIF($G$13:$AJ$13,1,$G23:$AJ23)</f>
        <v>430</v>
      </c>
      <c r="D23" s="8"/>
      <c r="E23" s="17" t="s">
        <v>34</v>
      </c>
      <c r="F23" s="8"/>
      <c r="G23" s="34">
        <v>121</v>
      </c>
      <c r="H23" s="34">
        <v>116</v>
      </c>
      <c r="I23" s="34">
        <v>116</v>
      </c>
      <c r="J23" s="24">
        <f>G23+H23+I23</f>
        <v>353</v>
      </c>
      <c r="K23" s="24">
        <f>RANK(J23,J$20:J$29,0)</f>
        <v>3</v>
      </c>
      <c r="L23" s="24">
        <f>VLOOKUP(K23,'[1]Место-баллы'!$A$3:$B$52,2,0)</f>
        <v>90</v>
      </c>
      <c r="M23" s="27"/>
      <c r="N23" s="24">
        <f>24+47+42</f>
        <v>113</v>
      </c>
      <c r="O23" s="24">
        <f>RANK(N23,N$20:N$29,0)</f>
        <v>4</v>
      </c>
      <c r="P23" s="24">
        <f>VLOOKUP(O23,'[1]Место-баллы'!$A$3:$B$52,2,0)</f>
        <v>85</v>
      </c>
      <c r="Q23" s="27"/>
      <c r="R23" s="24">
        <v>269</v>
      </c>
      <c r="S23" s="24">
        <f>RANK(R23,R$20:R$29,0)</f>
        <v>3</v>
      </c>
      <c r="T23" s="24">
        <f>VLOOKUP(S23,'[1]Место-баллы'!$A$3:$B$52,2,0)</f>
        <v>90</v>
      </c>
      <c r="U23" s="27"/>
      <c r="V23" s="24">
        <v>30</v>
      </c>
      <c r="W23" s="24">
        <v>33</v>
      </c>
      <c r="X23" s="24">
        <v>24</v>
      </c>
      <c r="Y23" s="24">
        <f>V23+W23+X23</f>
        <v>87</v>
      </c>
      <c r="Z23" s="24">
        <f>RANK(Y23,Y$20:Y$29,0)</f>
        <v>3</v>
      </c>
      <c r="AA23" s="24">
        <f>VLOOKUP(Z23,'[1]Место-баллы'!$A$3:$B$52,2,0)</f>
        <v>90</v>
      </c>
      <c r="AB23" s="27"/>
      <c r="AC23" s="24">
        <v>7</v>
      </c>
      <c r="AD23" s="24">
        <v>19</v>
      </c>
      <c r="AE23" s="28">
        <f>TIME(0,AC23,AD23)</f>
        <v>5.0810185185185186E-3</v>
      </c>
      <c r="AF23" s="24">
        <v>360</v>
      </c>
      <c r="AG23" s="24">
        <f>AF$14-AF23</f>
        <v>0</v>
      </c>
      <c r="AH23" s="28">
        <f>AE23+TIME(0,0,AG23)</f>
        <v>5.0810185185185186E-3</v>
      </c>
      <c r="AI23" s="24">
        <f>RANK(AH23,AH$20:AH$29,1)</f>
        <v>6</v>
      </c>
      <c r="AJ23" s="24">
        <f>VLOOKUP(AI23,'[1]Место-баллы'!$A$3:$B$52,2,0)</f>
        <v>75</v>
      </c>
    </row>
    <row r="24" spans="1:36" x14ac:dyDescent="0.25">
      <c r="A24" s="19"/>
      <c r="B24" s="5">
        <f>RANK(C24,C$20:C$29,0)</f>
        <v>5</v>
      </c>
      <c r="C24" s="5">
        <f>SUMIF($G$13:$AJ$13,1,$G24:$AJ24)</f>
        <v>389</v>
      </c>
      <c r="D24" s="8"/>
      <c r="E24" s="17" t="s">
        <v>72</v>
      </c>
      <c r="F24" s="8"/>
      <c r="G24" s="34">
        <v>0</v>
      </c>
      <c r="H24" s="34">
        <v>100</v>
      </c>
      <c r="I24" s="34">
        <v>105</v>
      </c>
      <c r="J24" s="24">
        <f>G24+H24+I24</f>
        <v>205</v>
      </c>
      <c r="K24" s="24">
        <f>RANK(J24,J$20:J$29,0)</f>
        <v>9</v>
      </c>
      <c r="L24" s="24">
        <f>VLOOKUP(K24,'[1]Место-баллы'!$A$3:$B$52,2,0)</f>
        <v>69</v>
      </c>
      <c r="M24" s="27"/>
      <c r="N24" s="24">
        <f>23+44+45</f>
        <v>112</v>
      </c>
      <c r="O24" s="24">
        <f>RANK(N24,N$20:N$29,0)</f>
        <v>5</v>
      </c>
      <c r="P24" s="24">
        <f>VLOOKUP(O24,'[1]Место-баллы'!$A$3:$B$52,2,0)</f>
        <v>80</v>
      </c>
      <c r="Q24" s="27"/>
      <c r="R24" s="24">
        <v>258</v>
      </c>
      <c r="S24" s="24">
        <f>RANK(R24,R$20:R$29,0)</f>
        <v>5</v>
      </c>
      <c r="T24" s="24">
        <f>VLOOKUP(S24,'[1]Место-баллы'!$A$3:$B$52,2,0)</f>
        <v>80</v>
      </c>
      <c r="U24" s="27"/>
      <c r="V24" s="24">
        <v>31</v>
      </c>
      <c r="W24" s="24">
        <v>33</v>
      </c>
      <c r="X24" s="24">
        <v>19</v>
      </c>
      <c r="Y24" s="24">
        <f>V24+W24+X24</f>
        <v>83</v>
      </c>
      <c r="Z24" s="24">
        <f>RANK(Y24,Y$20:Y$29,0)</f>
        <v>6</v>
      </c>
      <c r="AA24" s="24">
        <f>VLOOKUP(Z24,'[1]Место-баллы'!$A$3:$B$52,2,0)</f>
        <v>75</v>
      </c>
      <c r="AB24" s="27"/>
      <c r="AC24" s="24">
        <v>7</v>
      </c>
      <c r="AD24" s="24">
        <v>3</v>
      </c>
      <c r="AE24" s="28">
        <f>TIME(0,AC24,AD24)</f>
        <v>4.8958333333333328E-3</v>
      </c>
      <c r="AF24" s="24">
        <v>360</v>
      </c>
      <c r="AG24" s="24">
        <f>AF$14-AF24</f>
        <v>0</v>
      </c>
      <c r="AH24" s="28">
        <f>AE24+TIME(0,0,AG24)</f>
        <v>4.8958333333333328E-3</v>
      </c>
      <c r="AI24" s="24">
        <f>RANK(AH24,AH$20:AH$29,1)</f>
        <v>4</v>
      </c>
      <c r="AJ24" s="24">
        <f>VLOOKUP(AI24,'[1]Место-баллы'!$A$3:$B$52,2,0)</f>
        <v>85</v>
      </c>
    </row>
    <row r="25" spans="1:36" x14ac:dyDescent="0.25">
      <c r="A25" s="19"/>
      <c r="B25" s="5">
        <f>RANK(C25,C$20:C$29,0)</f>
        <v>6</v>
      </c>
      <c r="C25" s="5">
        <f>SUMIF($G$13:$AJ$13,1,$G25:$AJ25)</f>
        <v>387</v>
      </c>
      <c r="D25" s="8"/>
      <c r="E25" s="17" t="s">
        <v>32</v>
      </c>
      <c r="F25" s="8"/>
      <c r="G25" s="34">
        <v>115</v>
      </c>
      <c r="H25" s="34">
        <v>115</v>
      </c>
      <c r="I25" s="34">
        <v>115</v>
      </c>
      <c r="J25" s="24">
        <f>G25+H25+I25</f>
        <v>345</v>
      </c>
      <c r="K25" s="24">
        <f>RANK(J25,J$20:J$29,0)</f>
        <v>4</v>
      </c>
      <c r="L25" s="24">
        <f>VLOOKUP(K25,'[1]Место-баллы'!$A$3:$B$52,2,0)</f>
        <v>85</v>
      </c>
      <c r="M25" s="27"/>
      <c r="N25" s="24">
        <f>24+38+39</f>
        <v>101</v>
      </c>
      <c r="O25" s="24">
        <f>RANK(N25,N$20:N$29,0)</f>
        <v>10</v>
      </c>
      <c r="P25" s="24">
        <f>VLOOKUP(O25,'[1]Место-баллы'!$A$3:$B$52,2,0)</f>
        <v>67</v>
      </c>
      <c r="Q25" s="27"/>
      <c r="R25" s="24">
        <v>254</v>
      </c>
      <c r="S25" s="24">
        <f>RANK(R25,R$20:R$29,0)</f>
        <v>6</v>
      </c>
      <c r="T25" s="24">
        <f>VLOOKUP(S25,'[1]Место-баллы'!$A$3:$B$52,2,0)</f>
        <v>75</v>
      </c>
      <c r="U25" s="27"/>
      <c r="V25" s="24">
        <v>32</v>
      </c>
      <c r="W25" s="24">
        <v>29</v>
      </c>
      <c r="X25" s="24">
        <v>25</v>
      </c>
      <c r="Y25" s="24">
        <f>V25+W25+X25</f>
        <v>86</v>
      </c>
      <c r="Z25" s="24">
        <f>RANK(Y25,Y$20:Y$29,0)</f>
        <v>5</v>
      </c>
      <c r="AA25" s="24">
        <f>VLOOKUP(Z25,'[1]Место-баллы'!$A$3:$B$52,2,0)</f>
        <v>80</v>
      </c>
      <c r="AB25" s="27"/>
      <c r="AC25" s="24">
        <v>7</v>
      </c>
      <c r="AD25" s="24">
        <v>17</v>
      </c>
      <c r="AE25" s="28">
        <f>TIME(0,AC25,AD25)</f>
        <v>5.0578703703703706E-3</v>
      </c>
      <c r="AF25" s="24">
        <v>360</v>
      </c>
      <c r="AG25" s="24">
        <f>AF$14-AF25</f>
        <v>0</v>
      </c>
      <c r="AH25" s="28">
        <f>AE25+TIME(0,0,AG25)</f>
        <v>5.0578703703703706E-3</v>
      </c>
      <c r="AI25" s="24">
        <f>RANK(AH25,AH$20:AH$29,1)</f>
        <v>5</v>
      </c>
      <c r="AJ25" s="24">
        <f>VLOOKUP(AI25,'[1]Место-баллы'!$A$3:$B$52,2,0)</f>
        <v>80</v>
      </c>
    </row>
    <row r="26" spans="1:36" x14ac:dyDescent="0.25">
      <c r="A26" s="19"/>
      <c r="B26" s="5">
        <f>RANK(C26,C$20:C$29,0)</f>
        <v>7</v>
      </c>
      <c r="C26" s="5">
        <f>SUMIF($G$13:$AJ$13,1,$G26:$AJ26)</f>
        <v>379</v>
      </c>
      <c r="D26" s="8"/>
      <c r="E26" s="17" t="s">
        <v>31</v>
      </c>
      <c r="F26" s="8"/>
      <c r="G26" s="34">
        <v>80</v>
      </c>
      <c r="H26" s="34">
        <v>80</v>
      </c>
      <c r="I26" s="34">
        <v>81</v>
      </c>
      <c r="J26" s="24">
        <f>G26+H26+I26</f>
        <v>241</v>
      </c>
      <c r="K26" s="24">
        <f>RANK(J26,J$20:J$29,0)</f>
        <v>7</v>
      </c>
      <c r="L26" s="24">
        <f>VLOOKUP(K26,'[1]Место-баллы'!$A$3:$B$52,2,0)</f>
        <v>73</v>
      </c>
      <c r="M26" s="27"/>
      <c r="N26" s="24">
        <f>37+46+46</f>
        <v>129</v>
      </c>
      <c r="O26" s="24">
        <f>RANK(N26,N$20:N$29,0)</f>
        <v>2</v>
      </c>
      <c r="P26" s="24">
        <f>VLOOKUP(O26,'[1]Место-баллы'!$A$3:$B$52,2,0)</f>
        <v>95</v>
      </c>
      <c r="Q26" s="27"/>
      <c r="R26" s="24">
        <v>214</v>
      </c>
      <c r="S26" s="24">
        <f>RANK(R26,R$20:R$29,0)</f>
        <v>9</v>
      </c>
      <c r="T26" s="24">
        <f>VLOOKUP(S26,'[1]Место-баллы'!$A$3:$B$52,2,0)</f>
        <v>69</v>
      </c>
      <c r="U26" s="27"/>
      <c r="V26" s="24">
        <v>27</v>
      </c>
      <c r="W26" s="24">
        <v>14</v>
      </c>
      <c r="X26" s="24">
        <v>17</v>
      </c>
      <c r="Y26" s="24">
        <f>V26+W26+X26</f>
        <v>58</v>
      </c>
      <c r="Z26" s="24">
        <f>RANK(Y26,Y$20:Y$29,0)</f>
        <v>9</v>
      </c>
      <c r="AA26" s="24">
        <f>VLOOKUP(Z26,'[1]Место-баллы'!$A$3:$B$52,2,0)</f>
        <v>69</v>
      </c>
      <c r="AB26" s="27"/>
      <c r="AC26" s="24">
        <v>8</v>
      </c>
      <c r="AD26" s="24">
        <v>15</v>
      </c>
      <c r="AE26" s="28">
        <f>TIME(0,AC26,AD26)</f>
        <v>5.7291666666666671E-3</v>
      </c>
      <c r="AF26" s="24">
        <v>360</v>
      </c>
      <c r="AG26" s="24">
        <f>AF$14-AF26</f>
        <v>0</v>
      </c>
      <c r="AH26" s="28">
        <f>AE26+TIME(0,0,AG26)</f>
        <v>5.7291666666666671E-3</v>
      </c>
      <c r="AI26" s="24">
        <f>RANK(AH26,AH$20:AH$29,1)</f>
        <v>7</v>
      </c>
      <c r="AJ26" s="24">
        <f>VLOOKUP(AI26,'[1]Место-баллы'!$A$3:$B$52,2,0)</f>
        <v>73</v>
      </c>
    </row>
    <row r="27" spans="1:36" x14ac:dyDescent="0.25">
      <c r="A27" s="19"/>
      <c r="B27" s="5">
        <f>RANK(C27,C$20:C$29,0)</f>
        <v>8</v>
      </c>
      <c r="C27" s="5">
        <f>SUMIF($G$13:$AJ$13,1,$G27:$AJ27)</f>
        <v>374</v>
      </c>
      <c r="D27" s="8"/>
      <c r="E27" s="17" t="s">
        <v>70</v>
      </c>
      <c r="F27" s="8"/>
      <c r="G27" s="34">
        <v>97</v>
      </c>
      <c r="H27" s="34">
        <v>0</v>
      </c>
      <c r="I27" s="34">
        <v>0</v>
      </c>
      <c r="J27" s="24">
        <f>G27+H27+I27</f>
        <v>97</v>
      </c>
      <c r="K27" s="24">
        <f>RANK(J27,J$20:J$29,0)</f>
        <v>10</v>
      </c>
      <c r="L27" s="24">
        <f>VLOOKUP(K27,'[1]Место-баллы'!$A$3:$B$52,2,0)</f>
        <v>67</v>
      </c>
      <c r="M27" s="27"/>
      <c r="N27" s="24">
        <f>25+43+47</f>
        <v>115</v>
      </c>
      <c r="O27" s="24">
        <f>RANK(N27,N$20:N$29,0)</f>
        <v>3</v>
      </c>
      <c r="P27" s="24">
        <f>VLOOKUP(O27,'[1]Место-баллы'!$A$3:$B$52,2,0)</f>
        <v>90</v>
      </c>
      <c r="Q27" s="27"/>
      <c r="R27" s="24">
        <v>253</v>
      </c>
      <c r="S27" s="24">
        <f>RANK(R27,R$20:R$29,0)</f>
        <v>7</v>
      </c>
      <c r="T27" s="24">
        <f>VLOOKUP(S27,'[1]Место-баллы'!$A$3:$B$52,2,0)</f>
        <v>73</v>
      </c>
      <c r="U27" s="27"/>
      <c r="V27" s="24">
        <v>27</v>
      </c>
      <c r="W27" s="24">
        <v>27</v>
      </c>
      <c r="X27" s="24">
        <v>24</v>
      </c>
      <c r="Y27" s="24">
        <f>V27+W27+X27</f>
        <v>78</v>
      </c>
      <c r="Z27" s="24">
        <f>RANK(Y27,Y$20:Y$29,0)</f>
        <v>7</v>
      </c>
      <c r="AA27" s="24">
        <f>VLOOKUP(Z27,'[1]Место-баллы'!$A$3:$B$52,2,0)</f>
        <v>73</v>
      </c>
      <c r="AB27" s="27"/>
      <c r="AC27" s="24">
        <v>10</v>
      </c>
      <c r="AD27" s="24">
        <v>5</v>
      </c>
      <c r="AE27" s="28">
        <f>TIME(0,AC27,AD27)</f>
        <v>7.0023148148148154E-3</v>
      </c>
      <c r="AF27" s="24">
        <v>350</v>
      </c>
      <c r="AG27" s="24">
        <f>AF$14-AF27</f>
        <v>10</v>
      </c>
      <c r="AH27" s="28">
        <f>AE27+TIME(0,0,AG27)</f>
        <v>7.1180555555555563E-3</v>
      </c>
      <c r="AI27" s="24">
        <f>RANK(AH27,AH$20:AH$29,1)</f>
        <v>8</v>
      </c>
      <c r="AJ27" s="24">
        <f>VLOOKUP(AI27,'[1]Место-баллы'!$A$3:$B$52,2,0)</f>
        <v>71</v>
      </c>
    </row>
    <row r="28" spans="1:36" x14ac:dyDescent="0.25">
      <c r="A28" s="19"/>
      <c r="B28" s="5">
        <f>RANK(C28,C$20:C$29,0)</f>
        <v>9</v>
      </c>
      <c r="C28" s="5">
        <f>SUMIF($G$13:$AJ$13,1,$G28:$AJ28)</f>
        <v>353</v>
      </c>
      <c r="D28" s="8"/>
      <c r="E28" s="17" t="s">
        <v>68</v>
      </c>
      <c r="F28" s="8"/>
      <c r="G28" s="34">
        <v>80</v>
      </c>
      <c r="H28" s="34">
        <v>80</v>
      </c>
      <c r="I28" s="34">
        <v>80</v>
      </c>
      <c r="J28" s="24">
        <f>G28+H28+I28</f>
        <v>240</v>
      </c>
      <c r="K28" s="24">
        <f>RANK(J28,J$20:J$29,0)</f>
        <v>8</v>
      </c>
      <c r="L28" s="24">
        <f>VLOOKUP(K28,'[1]Место-баллы'!$A$3:$B$52,2,0)</f>
        <v>71</v>
      </c>
      <c r="M28" s="27"/>
      <c r="N28" s="24">
        <f>30+42+39</f>
        <v>111</v>
      </c>
      <c r="O28" s="24">
        <f>RANK(N28,N$20:N$29,0)</f>
        <v>6</v>
      </c>
      <c r="P28" s="24">
        <f>VLOOKUP(O28,'[1]Место-баллы'!$A$3:$B$52,2,0)</f>
        <v>75</v>
      </c>
      <c r="Q28" s="27"/>
      <c r="R28" s="24">
        <v>164</v>
      </c>
      <c r="S28" s="24">
        <f>RANK(R28,R$20:R$29,0)</f>
        <v>10</v>
      </c>
      <c r="T28" s="24">
        <f>VLOOKUP(S28,'[1]Место-баллы'!$A$3:$B$52,2,0)</f>
        <v>67</v>
      </c>
      <c r="U28" s="27"/>
      <c r="V28" s="24">
        <v>26</v>
      </c>
      <c r="W28" s="24">
        <v>16</v>
      </c>
      <c r="X28" s="24">
        <v>24</v>
      </c>
      <c r="Y28" s="24">
        <f>V28+W28+X28</f>
        <v>66</v>
      </c>
      <c r="Z28" s="24">
        <f>RANK(Y28,Y$20:Y$29,0)</f>
        <v>8</v>
      </c>
      <c r="AA28" s="24">
        <f>VLOOKUP(Z28,'[1]Место-баллы'!$A$3:$B$52,2,0)</f>
        <v>71</v>
      </c>
      <c r="AB28" s="27"/>
      <c r="AC28" s="24">
        <v>10</v>
      </c>
      <c r="AD28" s="24">
        <v>5</v>
      </c>
      <c r="AE28" s="28">
        <f>TIME(0,AC28,AD28)</f>
        <v>7.0023148148148154E-3</v>
      </c>
      <c r="AF28" s="24">
        <v>74</v>
      </c>
      <c r="AG28" s="24">
        <f>AF$14-AF28</f>
        <v>286</v>
      </c>
      <c r="AH28" s="28">
        <f>AE28+TIME(0,0,AG28)</f>
        <v>1.03125E-2</v>
      </c>
      <c r="AI28" s="24">
        <f>RANK(AH28,AH$20:AH$29,1)</f>
        <v>9</v>
      </c>
      <c r="AJ28" s="24">
        <f>VLOOKUP(AI28,'[1]Место-баллы'!$A$3:$B$52,2,0)</f>
        <v>69</v>
      </c>
    </row>
    <row r="29" spans="1:36" x14ac:dyDescent="0.25">
      <c r="A29" s="19"/>
      <c r="B29" s="5">
        <f>RANK(C29,C$20:C$29,0)</f>
        <v>10</v>
      </c>
      <c r="C29" s="5">
        <f>SUMIF($G$13:$AJ$13,1,$G29:$AJ29)</f>
        <v>224</v>
      </c>
      <c r="D29" s="8"/>
      <c r="E29" s="17" t="s">
        <v>75</v>
      </c>
      <c r="F29" s="8"/>
      <c r="G29" s="34">
        <v>100</v>
      </c>
      <c r="H29" s="34">
        <v>105</v>
      </c>
      <c r="I29" s="34">
        <v>100</v>
      </c>
      <c r="J29" s="24">
        <f>G29+H29+I29</f>
        <v>305</v>
      </c>
      <c r="K29" s="24">
        <f>RANK(J29,J$20:J$29,0)</f>
        <v>5</v>
      </c>
      <c r="L29" s="24">
        <f>VLOOKUP(K29,'[1]Место-баллы'!$A$3:$B$52,2,0)</f>
        <v>80</v>
      </c>
      <c r="M29" s="27"/>
      <c r="N29" s="24">
        <f>22+44+42</f>
        <v>108</v>
      </c>
      <c r="O29" s="24">
        <f>RANK(N29,N$20:N$29,0)</f>
        <v>7</v>
      </c>
      <c r="P29" s="24">
        <f>VLOOKUP(O29,'[1]Место-баллы'!$A$3:$B$52,2,0)</f>
        <v>73</v>
      </c>
      <c r="Q29" s="27"/>
      <c r="R29" s="24">
        <v>228</v>
      </c>
      <c r="S29" s="24">
        <f>RANK(R29,R$20:R$29,0)</f>
        <v>8</v>
      </c>
      <c r="T29" s="24">
        <f>VLOOKUP(S29,'[1]Место-баллы'!$A$3:$B$52,2,0)</f>
        <v>71</v>
      </c>
      <c r="U29" s="27"/>
      <c r="V29" s="24"/>
      <c r="W29" s="24"/>
      <c r="X29" s="24"/>
      <c r="Y29" s="24"/>
      <c r="Z29" s="24"/>
      <c r="AA29" s="24" t="s">
        <v>76</v>
      </c>
      <c r="AB29" s="27"/>
      <c r="AC29" s="24"/>
      <c r="AD29" s="24"/>
      <c r="AE29" s="28"/>
      <c r="AF29" s="24"/>
      <c r="AG29" s="24"/>
      <c r="AH29" s="28"/>
      <c r="AI29" s="24"/>
      <c r="AJ29" s="24" t="s">
        <v>76</v>
      </c>
    </row>
    <row r="30" spans="1:36" ht="15.75" customHeight="1" x14ac:dyDescent="0.25">
      <c r="A30" s="19"/>
    </row>
    <row r="31" spans="1:36" ht="15.75" customHeight="1" x14ac:dyDescent="0.25"/>
    <row r="32" spans="1:36" ht="15.75" customHeight="1" outlineLevel="1" x14ac:dyDescent="0.35">
      <c r="B32" s="39" t="s">
        <v>36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</row>
    <row r="33" spans="2:12" ht="15.75" customHeight="1" outlineLevel="1" x14ac:dyDescent="0.25">
      <c r="B33" s="16"/>
      <c r="C33" s="16"/>
      <c r="D33" s="16"/>
      <c r="E33" s="16"/>
    </row>
    <row r="34" spans="2:12" ht="15.75" customHeight="1" outlineLevel="1" x14ac:dyDescent="0.35">
      <c r="B34" s="39" t="s">
        <v>37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</row>
    <row r="35" spans="2:12" ht="15.75" customHeight="1" x14ac:dyDescent="0.25"/>
    <row r="36" spans="2:12" ht="15.75" customHeight="1" x14ac:dyDescent="0.25"/>
    <row r="37" spans="2:12" ht="15.75" customHeight="1" x14ac:dyDescent="0.25"/>
    <row r="38" spans="2:12" ht="15.75" customHeight="1" x14ac:dyDescent="0.25"/>
    <row r="39" spans="2:12" s="18" customFormat="1" ht="15.75" customHeight="1" x14ac:dyDescent="0.25"/>
    <row r="40" spans="2:12" ht="15.75" customHeight="1" x14ac:dyDescent="0.25"/>
    <row r="41" spans="2:12" ht="15.75" customHeight="1" x14ac:dyDescent="0.25"/>
    <row r="42" spans="2:12" ht="15.75" customHeight="1" x14ac:dyDescent="0.25"/>
    <row r="43" spans="2:12" ht="15.75" customHeight="1" x14ac:dyDescent="0.25"/>
    <row r="44" spans="2:12" ht="15.75" customHeight="1" x14ac:dyDescent="0.25"/>
    <row r="45" spans="2:12" ht="15.75" customHeight="1" x14ac:dyDescent="0.25"/>
    <row r="46" spans="2:12" ht="15.75" customHeight="1" x14ac:dyDescent="0.25"/>
    <row r="47" spans="2:12" ht="15.75" customHeight="1" x14ac:dyDescent="0.25"/>
    <row r="48" spans="2:1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</sheetData>
  <autoFilter ref="B19:AJ19" xr:uid="{0AFED672-E66B-4E82-8E63-76762A7AA645}">
    <sortState ref="B20:AJ29">
      <sortCondition ref="B19"/>
    </sortState>
  </autoFilter>
  <mergeCells count="18">
    <mergeCell ref="R17:T18"/>
    <mergeCell ref="V17:AA18"/>
    <mergeCell ref="AC17:AJ18"/>
    <mergeCell ref="B32:L32"/>
    <mergeCell ref="B34:L34"/>
    <mergeCell ref="B1:AJ1"/>
    <mergeCell ref="B2:AJ2"/>
    <mergeCell ref="B3:AJ3"/>
    <mergeCell ref="B4:AJ4"/>
    <mergeCell ref="B6:AJ6"/>
    <mergeCell ref="B7:AJ7"/>
    <mergeCell ref="B8:AJ8"/>
    <mergeCell ref="B9:AJ9"/>
    <mergeCell ref="B11:AJ11"/>
    <mergeCell ref="B17:C18"/>
    <mergeCell ref="E17:E18"/>
    <mergeCell ref="G17:L18"/>
    <mergeCell ref="N17:P18"/>
  </mergeCells>
  <printOptions horizontalCentered="1" verticalCentered="1"/>
  <pageMargins left="0" right="0" top="0" bottom="0" header="0" footer="0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Место-баллы</vt:lpstr>
      <vt:lpstr>21+ Ж до 63 кг</vt:lpstr>
      <vt:lpstr>21+ Ж 63+ кг</vt:lpstr>
      <vt:lpstr>21+ М до 85 кг</vt:lpstr>
      <vt:lpstr>21+ М 85+ кг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Reseption</dc:creator>
  <cp:lastModifiedBy>hp</cp:lastModifiedBy>
  <cp:lastPrinted>2020-01-26T09:39:03Z</cp:lastPrinted>
  <dcterms:created xsi:type="dcterms:W3CDTF">2017-08-12T14:09:08Z</dcterms:created>
  <dcterms:modified xsi:type="dcterms:W3CDTF">2020-01-26T09:43:09Z</dcterms:modified>
</cp:coreProperties>
</file>